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tgov-my.sharepoint.com/personal/cp8813_mt_gov/Documents/Desktop/"/>
    </mc:Choice>
  </mc:AlternateContent>
  <xr:revisionPtr revIDLastSave="0" documentId="8_{1E4E4078-ABE3-47C0-9904-5894339F90CB}" xr6:coauthVersionLast="47" xr6:coauthVersionMax="47" xr10:uidLastSave="{00000000-0000-0000-0000-000000000000}"/>
  <bookViews>
    <workbookView xWindow="-90" yWindow="-90" windowWidth="19380" windowHeight="9765" xr2:uid="{00000000-000D-0000-FFFF-FFFF00000000}"/>
  </bookViews>
  <sheets>
    <sheet name="Instructions" sheetId="1" r:id="rId1"/>
    <sheet name="Bus Routes" sheetId="5" r:id="rId2"/>
    <sheet name="Individual Contracts" sheetId="2" r:id="rId3"/>
    <sheet name="On-Schedule" sheetId="4" r:id="rId4"/>
    <sheet name="PAR" sheetId="3" r:id="rId5"/>
    <sheet name="20-10 MCA" sheetId="6" r:id="rId6"/>
  </sheets>
  <definedNames>
    <definedName name="_xlnm.Print_Area" localSheetId="5">'20-10 MCA'!$A$1:$A$106</definedName>
    <definedName name="_xlnm.Print_Area" localSheetId="1">'Bus Routes'!$A$1:$AB$64</definedName>
    <definedName name="_xlnm.Print_Area" localSheetId="2">'Individual Contracts'!$B$1:$R$41</definedName>
    <definedName name="_xlnm.Print_Titles" localSheetId="1">'Bus Routes'!$A:$A,'Bus Routes'!$1:$12</definedName>
    <definedName name="_xlnm.Print_Titles" localSheetId="2">'Individual Contracts'!$A:$A,'Individual Contracts'!$1:$7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4" i="2" l="1"/>
  <c r="P25" i="2"/>
  <c r="P26" i="2"/>
  <c r="P27" i="2"/>
  <c r="P28" i="2"/>
  <c r="P29" i="2"/>
  <c r="P30" i="2"/>
  <c r="P31" i="2"/>
  <c r="P32" i="2"/>
  <c r="P33" i="2"/>
  <c r="P34" i="2"/>
  <c r="P35" i="2"/>
  <c r="P36" i="2"/>
  <c r="P37" i="2"/>
  <c r="P38" i="2"/>
  <c r="P39" i="2"/>
  <c r="P40" i="2"/>
  <c r="P41" i="2"/>
  <c r="W15" i="5" l="1"/>
  <c r="W16" i="5"/>
  <c r="V14" i="5"/>
  <c r="V15" i="5"/>
  <c r="V16" i="5"/>
  <c r="K14" i="5"/>
  <c r="K15" i="5"/>
  <c r="K16" i="5"/>
  <c r="K17" i="5"/>
  <c r="H14" i="5"/>
  <c r="H16" i="5"/>
  <c r="H17" i="5"/>
  <c r="P14" i="5"/>
  <c r="P15" i="5"/>
  <c r="P16" i="5"/>
  <c r="U14" i="5" l="1"/>
  <c r="U15" i="5"/>
  <c r="U16"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M141" i="5"/>
  <c r="AM142" i="5"/>
  <c r="AM143" i="5"/>
  <c r="AM144" i="5"/>
  <c r="AM145" i="5"/>
  <c r="AM146" i="5"/>
  <c r="AM147" i="5"/>
  <c r="AM148" i="5"/>
  <c r="AM149" i="5"/>
  <c r="AM150" i="5"/>
  <c r="AM151" i="5"/>
  <c r="AM152" i="5"/>
  <c r="AM153" i="5"/>
  <c r="AM154" i="5"/>
  <c r="AM155" i="5"/>
  <c r="AM156" i="5"/>
  <c r="AM157" i="5"/>
  <c r="AM158" i="5"/>
  <c r="AM159" i="5"/>
  <c r="AM160" i="5"/>
  <c r="AM161" i="5"/>
  <c r="AM162" i="5"/>
  <c r="AM163" i="5"/>
  <c r="AM164" i="5"/>
  <c r="AM165" i="5"/>
  <c r="AM166" i="5"/>
  <c r="AM167" i="5"/>
  <c r="AM168" i="5"/>
  <c r="AM169" i="5"/>
  <c r="AM170" i="5"/>
  <c r="AM171" i="5"/>
  <c r="AM172" i="5"/>
  <c r="AM173" i="5"/>
  <c r="AM174" i="5"/>
  <c r="AM175" i="5"/>
  <c r="AM176" i="5"/>
  <c r="AM177" i="5"/>
  <c r="AM178" i="5"/>
  <c r="AM179" i="5"/>
  <c r="AM180" i="5"/>
  <c r="AM181" i="5"/>
  <c r="AM182" i="5"/>
  <c r="AM183" i="5"/>
  <c r="AM184" i="5"/>
  <c r="AM185" i="5"/>
  <c r="AM186" i="5"/>
  <c r="AM187" i="5"/>
  <c r="AM188" i="5"/>
  <c r="AM189" i="5"/>
  <c r="AM190" i="5"/>
  <c r="AM191" i="5"/>
  <c r="AM192" i="5"/>
  <c r="AM193" i="5"/>
  <c r="AM194" i="5"/>
  <c r="AM195" i="5"/>
  <c r="AM196" i="5"/>
  <c r="AM197" i="5"/>
  <c r="AM198" i="5"/>
  <c r="AM199" i="5"/>
  <c r="AM200" i="5"/>
  <c r="AM201" i="5"/>
  <c r="AM202" i="5"/>
  <c r="AM203" i="5"/>
  <c r="AM204" i="5"/>
  <c r="AM205" i="5"/>
  <c r="AM206" i="5"/>
  <c r="AM207" i="5"/>
  <c r="AM208" i="5"/>
  <c r="AM209" i="5"/>
  <c r="AM210" i="5"/>
  <c r="AM211" i="5"/>
  <c r="AM212" i="5"/>
  <c r="AM213" i="5"/>
  <c r="AM214" i="5"/>
  <c r="AM215" i="5"/>
  <c r="AM216" i="5"/>
  <c r="AM217" i="5"/>
  <c r="AM218" i="5"/>
  <c r="AM219" i="5"/>
  <c r="AM220" i="5"/>
  <c r="AM221" i="5"/>
  <c r="AM222" i="5"/>
  <c r="AM223" i="5"/>
  <c r="AM224" i="5"/>
  <c r="AM225" i="5"/>
  <c r="AM226" i="5"/>
  <c r="AM227" i="5"/>
  <c r="AM228" i="5"/>
  <c r="AM229" i="5"/>
  <c r="AM230" i="5"/>
  <c r="AM231" i="5"/>
  <c r="AM232" i="5"/>
  <c r="AM233" i="5"/>
  <c r="AM234" i="5"/>
  <c r="AM235" i="5"/>
  <c r="AM236" i="5"/>
  <c r="AM237" i="5"/>
  <c r="AM238" i="5"/>
  <c r="AM239" i="5"/>
  <c r="AM240" i="5"/>
  <c r="AM241" i="5"/>
  <c r="AM242" i="5"/>
  <c r="AM243" i="5"/>
  <c r="AM244" i="5"/>
  <c r="AM245" i="5"/>
  <c r="AM246" i="5"/>
  <c r="AM247" i="5"/>
  <c r="AM248" i="5"/>
  <c r="AM249" i="5"/>
  <c r="AM250" i="5"/>
  <c r="AM251" i="5"/>
  <c r="AM252" i="5"/>
  <c r="AM253" i="5"/>
  <c r="AM254" i="5"/>
  <c r="AM255" i="5"/>
  <c r="AM256" i="5"/>
  <c r="AM257" i="5"/>
  <c r="AM258" i="5"/>
  <c r="AM259" i="5"/>
  <c r="AM260" i="5"/>
  <c r="AM261" i="5"/>
  <c r="AM262" i="5"/>
  <c r="AM263" i="5"/>
  <c r="AM264" i="5"/>
  <c r="AM265" i="5"/>
  <c r="AM266" i="5"/>
  <c r="AM267" i="5"/>
  <c r="AM268" i="5"/>
  <c r="AM269" i="5"/>
  <c r="AM270" i="5"/>
  <c r="AM271" i="5"/>
  <c r="AM272" i="5"/>
  <c r="AM273" i="5"/>
  <c r="AM274" i="5"/>
  <c r="AM275" i="5"/>
  <c r="AM276" i="5"/>
  <c r="AM277" i="5"/>
  <c r="AM278" i="5"/>
  <c r="AM279" i="5"/>
  <c r="AM280" i="5"/>
  <c r="AM281" i="5"/>
  <c r="AM282" i="5"/>
  <c r="AM283" i="5"/>
  <c r="AM284" i="5"/>
  <c r="AM285" i="5"/>
  <c r="AM286" i="5"/>
  <c r="AM287" i="5"/>
  <c r="AM288" i="5"/>
  <c r="AM289" i="5"/>
  <c r="AM290" i="5"/>
  <c r="AM291" i="5"/>
  <c r="AM292" i="5"/>
  <c r="AM293" i="5"/>
  <c r="AM294" i="5"/>
  <c r="AM295" i="5"/>
  <c r="AM296" i="5"/>
  <c r="AM297" i="5"/>
  <c r="AM298" i="5"/>
  <c r="AM299" i="5"/>
  <c r="AM300" i="5"/>
  <c r="AM301" i="5"/>
  <c r="AM302" i="5"/>
  <c r="AM303" i="5"/>
  <c r="AM14" i="5"/>
  <c r="AB15" i="5" l="1"/>
  <c r="AB21" i="5"/>
  <c r="AB29" i="5"/>
  <c r="AB37" i="5"/>
  <c r="AB45" i="5"/>
  <c r="AB53" i="5"/>
  <c r="AB61" i="5"/>
  <c r="AB69" i="5"/>
  <c r="AB77" i="5"/>
  <c r="AB85" i="5"/>
  <c r="AB93" i="5"/>
  <c r="AB101" i="5"/>
  <c r="AB109" i="5"/>
  <c r="AB117" i="5"/>
  <c r="AB125" i="5"/>
  <c r="AB133" i="5"/>
  <c r="AB141" i="5"/>
  <c r="AB149" i="5"/>
  <c r="AB157" i="5"/>
  <c r="AB165" i="5"/>
  <c r="AB173" i="5"/>
  <c r="AB181" i="5"/>
  <c r="AB189" i="5"/>
  <c r="AB197" i="5"/>
  <c r="AB205" i="5"/>
  <c r="AB213" i="5"/>
  <c r="AB221" i="5"/>
  <c r="AB229" i="5"/>
  <c r="AB237" i="5"/>
  <c r="AB245" i="5"/>
  <c r="AB253" i="5"/>
  <c r="AB261" i="5"/>
  <c r="AB269" i="5"/>
  <c r="AB277" i="5"/>
  <c r="AB285" i="5"/>
  <c r="AB293" i="5"/>
  <c r="AB301" i="5"/>
  <c r="AB16" i="5"/>
  <c r="AB17" i="5"/>
  <c r="AB18" i="5"/>
  <c r="AB19" i="5"/>
  <c r="AB20" i="5"/>
  <c r="AB22" i="5"/>
  <c r="AB23" i="5"/>
  <c r="AB24" i="5"/>
  <c r="AB25" i="5"/>
  <c r="AB26" i="5"/>
  <c r="AB27" i="5"/>
  <c r="AB28" i="5"/>
  <c r="AB30" i="5"/>
  <c r="AB31" i="5"/>
  <c r="AB32" i="5"/>
  <c r="AB33" i="5"/>
  <c r="AB34" i="5"/>
  <c r="AB35" i="5"/>
  <c r="AB36" i="5"/>
  <c r="AB38" i="5"/>
  <c r="AB39" i="5"/>
  <c r="AB40" i="5"/>
  <c r="AB41" i="5"/>
  <c r="AB42" i="5"/>
  <c r="AB43" i="5"/>
  <c r="AB44" i="5"/>
  <c r="AB46" i="5"/>
  <c r="AB47" i="5"/>
  <c r="AB48" i="5"/>
  <c r="AB49" i="5"/>
  <c r="AB50" i="5"/>
  <c r="AB51" i="5"/>
  <c r="AB52" i="5"/>
  <c r="AB54" i="5"/>
  <c r="AB55" i="5"/>
  <c r="AB56" i="5"/>
  <c r="AB57" i="5"/>
  <c r="AB58" i="5"/>
  <c r="AB59" i="5"/>
  <c r="AB60" i="5"/>
  <c r="AB62" i="5"/>
  <c r="AB63" i="5"/>
  <c r="AB64" i="5"/>
  <c r="AB65" i="5"/>
  <c r="AB66" i="5"/>
  <c r="AB67" i="5"/>
  <c r="AB68" i="5"/>
  <c r="AB70" i="5"/>
  <c r="AB71" i="5"/>
  <c r="AB72" i="5"/>
  <c r="AB73" i="5"/>
  <c r="AB74" i="5"/>
  <c r="AB75" i="5"/>
  <c r="AB76" i="5"/>
  <c r="AB78" i="5"/>
  <c r="AB79" i="5"/>
  <c r="AB80" i="5"/>
  <c r="AB81" i="5"/>
  <c r="AB82" i="5"/>
  <c r="AB83" i="5"/>
  <c r="AB84" i="5"/>
  <c r="AB86" i="5"/>
  <c r="AB87" i="5"/>
  <c r="AB88" i="5"/>
  <c r="AB89" i="5"/>
  <c r="AB90" i="5"/>
  <c r="AB91" i="5"/>
  <c r="AB92" i="5"/>
  <c r="AB94" i="5"/>
  <c r="AB95" i="5"/>
  <c r="AB96" i="5"/>
  <c r="AB97" i="5"/>
  <c r="AB98" i="5"/>
  <c r="AB99" i="5"/>
  <c r="AB100" i="5"/>
  <c r="AB102" i="5"/>
  <c r="AB103" i="5"/>
  <c r="AB104" i="5"/>
  <c r="AB105" i="5"/>
  <c r="AB106" i="5"/>
  <c r="AB107" i="5"/>
  <c r="AB108" i="5"/>
  <c r="AB110" i="5"/>
  <c r="AB111" i="5"/>
  <c r="AB112" i="5"/>
  <c r="AB113" i="5"/>
  <c r="AB114" i="5"/>
  <c r="AB115" i="5"/>
  <c r="AB116" i="5"/>
  <c r="AB118" i="5"/>
  <c r="AB119" i="5"/>
  <c r="AB120" i="5"/>
  <c r="AB121" i="5"/>
  <c r="AB122" i="5"/>
  <c r="AB123" i="5"/>
  <c r="AB124" i="5"/>
  <c r="AB126" i="5"/>
  <c r="AB127" i="5"/>
  <c r="AB128" i="5"/>
  <c r="AB129" i="5"/>
  <c r="AB130" i="5"/>
  <c r="AB131" i="5"/>
  <c r="AB132" i="5"/>
  <c r="AB134" i="5"/>
  <c r="AB135" i="5"/>
  <c r="AB136" i="5"/>
  <c r="AB137" i="5"/>
  <c r="AB138" i="5"/>
  <c r="AB139" i="5"/>
  <c r="AB140" i="5"/>
  <c r="AB142" i="5"/>
  <c r="AB143" i="5"/>
  <c r="AB144" i="5"/>
  <c r="AB145" i="5"/>
  <c r="AB146" i="5"/>
  <c r="AB147" i="5"/>
  <c r="AB148" i="5"/>
  <c r="AB150" i="5"/>
  <c r="AB151" i="5"/>
  <c r="AB152" i="5"/>
  <c r="AB153" i="5"/>
  <c r="AB154" i="5"/>
  <c r="AB155" i="5"/>
  <c r="AB156" i="5"/>
  <c r="AB158" i="5"/>
  <c r="AB159" i="5"/>
  <c r="AB160" i="5"/>
  <c r="AB161" i="5"/>
  <c r="AB162" i="5"/>
  <c r="AB163" i="5"/>
  <c r="AB164" i="5"/>
  <c r="AB166" i="5"/>
  <c r="AB167" i="5"/>
  <c r="AB168" i="5"/>
  <c r="AB169" i="5"/>
  <c r="AB170" i="5"/>
  <c r="AB171" i="5"/>
  <c r="AB172" i="5"/>
  <c r="AB174" i="5"/>
  <c r="AB175" i="5"/>
  <c r="AB176" i="5"/>
  <c r="AB177" i="5"/>
  <c r="AB178" i="5"/>
  <c r="AB179" i="5"/>
  <c r="AB180" i="5"/>
  <c r="AB182" i="5"/>
  <c r="AB183" i="5"/>
  <c r="AB184" i="5"/>
  <c r="AB185" i="5"/>
  <c r="AB186" i="5"/>
  <c r="AB187" i="5"/>
  <c r="AB188" i="5"/>
  <c r="AB190" i="5"/>
  <c r="AB191" i="5"/>
  <c r="AB192" i="5"/>
  <c r="AB193" i="5"/>
  <c r="AB194" i="5"/>
  <c r="AB195" i="5"/>
  <c r="AB196" i="5"/>
  <c r="AB198" i="5"/>
  <c r="AB199" i="5"/>
  <c r="AB200" i="5"/>
  <c r="AB201" i="5"/>
  <c r="AB202" i="5"/>
  <c r="AB203" i="5"/>
  <c r="AB204" i="5"/>
  <c r="AB206" i="5"/>
  <c r="AB207" i="5"/>
  <c r="AB208" i="5"/>
  <c r="AB209" i="5"/>
  <c r="AB210" i="5"/>
  <c r="AB211" i="5"/>
  <c r="AB212" i="5"/>
  <c r="AB214" i="5"/>
  <c r="AB215" i="5"/>
  <c r="AB216" i="5"/>
  <c r="AB217" i="5"/>
  <c r="AB218" i="5"/>
  <c r="AB219" i="5"/>
  <c r="AB220" i="5"/>
  <c r="AB222" i="5"/>
  <c r="AB223" i="5"/>
  <c r="AB224" i="5"/>
  <c r="AB225" i="5"/>
  <c r="AB226" i="5"/>
  <c r="AB227" i="5"/>
  <c r="AB228" i="5"/>
  <c r="AB230" i="5"/>
  <c r="AB231" i="5"/>
  <c r="AB232" i="5"/>
  <c r="AB233" i="5"/>
  <c r="AB234" i="5"/>
  <c r="AB235" i="5"/>
  <c r="AB236" i="5"/>
  <c r="AB238" i="5"/>
  <c r="AB239" i="5"/>
  <c r="AB240" i="5"/>
  <c r="AB241" i="5"/>
  <c r="AB242" i="5"/>
  <c r="AB243" i="5"/>
  <c r="AB244" i="5"/>
  <c r="AB246" i="5"/>
  <c r="AB247" i="5"/>
  <c r="AB248" i="5"/>
  <c r="AB249" i="5"/>
  <c r="AB250" i="5"/>
  <c r="AB251" i="5"/>
  <c r="AB252" i="5"/>
  <c r="AB254" i="5"/>
  <c r="AB255" i="5"/>
  <c r="AB256" i="5"/>
  <c r="AB257" i="5"/>
  <c r="AB258" i="5"/>
  <c r="AB259" i="5"/>
  <c r="AB260" i="5"/>
  <c r="AB262" i="5"/>
  <c r="AB263" i="5"/>
  <c r="AB264" i="5"/>
  <c r="AB265" i="5"/>
  <c r="AB266" i="5"/>
  <c r="AB267" i="5"/>
  <c r="AB268" i="5"/>
  <c r="AB270" i="5"/>
  <c r="AB271" i="5"/>
  <c r="AB272" i="5"/>
  <c r="AB273" i="5"/>
  <c r="AB274" i="5"/>
  <c r="AB275" i="5"/>
  <c r="AB276" i="5"/>
  <c r="AB278" i="5"/>
  <c r="AB279" i="5"/>
  <c r="AB280" i="5"/>
  <c r="AB281" i="5"/>
  <c r="AB282" i="5"/>
  <c r="AB283" i="5"/>
  <c r="AB284" i="5"/>
  <c r="AB286" i="5"/>
  <c r="AB287" i="5"/>
  <c r="AB288" i="5"/>
  <c r="AB289" i="5"/>
  <c r="AB290" i="5"/>
  <c r="AB291" i="5"/>
  <c r="AB292" i="5"/>
  <c r="AB294" i="5"/>
  <c r="AB295" i="5"/>
  <c r="AB296" i="5"/>
  <c r="AB297" i="5"/>
  <c r="AB298" i="5"/>
  <c r="AB299" i="5"/>
  <c r="AB300" i="5"/>
  <c r="AB302" i="5"/>
  <c r="AB303" i="5"/>
  <c r="AB14" i="5"/>
  <c r="W17" i="5" l="1"/>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W101" i="5"/>
  <c r="W102" i="5"/>
  <c r="W103" i="5"/>
  <c r="W104" i="5"/>
  <c r="W105" i="5"/>
  <c r="W106" i="5"/>
  <c r="W107" i="5"/>
  <c r="W108" i="5"/>
  <c r="W109" i="5"/>
  <c r="W110" i="5"/>
  <c r="W111" i="5"/>
  <c r="W112" i="5"/>
  <c r="W113" i="5"/>
  <c r="W114" i="5"/>
  <c r="W115" i="5"/>
  <c r="W116" i="5"/>
  <c r="W117" i="5"/>
  <c r="W118" i="5"/>
  <c r="W119" i="5"/>
  <c r="W120" i="5"/>
  <c r="W121" i="5"/>
  <c r="W122" i="5"/>
  <c r="W123" i="5"/>
  <c r="W124" i="5"/>
  <c r="W125" i="5"/>
  <c r="W126" i="5"/>
  <c r="W127" i="5"/>
  <c r="W128" i="5"/>
  <c r="W129" i="5"/>
  <c r="W130" i="5"/>
  <c r="W131" i="5"/>
  <c r="W132" i="5"/>
  <c r="W133" i="5"/>
  <c r="W134" i="5"/>
  <c r="W135" i="5"/>
  <c r="W136" i="5"/>
  <c r="W137" i="5"/>
  <c r="W138" i="5"/>
  <c r="W139" i="5"/>
  <c r="W140" i="5"/>
  <c r="W141" i="5"/>
  <c r="W142" i="5"/>
  <c r="W143" i="5"/>
  <c r="W144" i="5"/>
  <c r="W145" i="5"/>
  <c r="W146" i="5"/>
  <c r="W147" i="5"/>
  <c r="W148" i="5"/>
  <c r="W149" i="5"/>
  <c r="W150" i="5"/>
  <c r="W151" i="5"/>
  <c r="W152" i="5"/>
  <c r="W153" i="5"/>
  <c r="W154" i="5"/>
  <c r="W155" i="5"/>
  <c r="W156" i="5"/>
  <c r="W157" i="5"/>
  <c r="W158" i="5"/>
  <c r="W159" i="5"/>
  <c r="W160" i="5"/>
  <c r="W161" i="5"/>
  <c r="W162" i="5"/>
  <c r="W163" i="5"/>
  <c r="W164" i="5"/>
  <c r="W165" i="5"/>
  <c r="W166" i="5"/>
  <c r="W167" i="5"/>
  <c r="W168" i="5"/>
  <c r="W169" i="5"/>
  <c r="W170" i="5"/>
  <c r="W171" i="5"/>
  <c r="W172" i="5"/>
  <c r="W173" i="5"/>
  <c r="W174" i="5"/>
  <c r="W175" i="5"/>
  <c r="W176" i="5"/>
  <c r="W177" i="5"/>
  <c r="W178" i="5"/>
  <c r="W179" i="5"/>
  <c r="W180" i="5"/>
  <c r="W181" i="5"/>
  <c r="W182" i="5"/>
  <c r="W183" i="5"/>
  <c r="W184" i="5"/>
  <c r="W185" i="5"/>
  <c r="W186" i="5"/>
  <c r="W187" i="5"/>
  <c r="W188" i="5"/>
  <c r="W189" i="5"/>
  <c r="W190" i="5"/>
  <c r="W191" i="5"/>
  <c r="W192" i="5"/>
  <c r="W193" i="5"/>
  <c r="W194" i="5"/>
  <c r="W195" i="5"/>
  <c r="W196" i="5"/>
  <c r="W197" i="5"/>
  <c r="W198" i="5"/>
  <c r="W199" i="5"/>
  <c r="W200" i="5"/>
  <c r="W201" i="5"/>
  <c r="W202" i="5"/>
  <c r="W203" i="5"/>
  <c r="W204" i="5"/>
  <c r="W205" i="5"/>
  <c r="W206" i="5"/>
  <c r="W207" i="5"/>
  <c r="W208" i="5"/>
  <c r="W209" i="5"/>
  <c r="W210" i="5"/>
  <c r="W211" i="5"/>
  <c r="W212" i="5"/>
  <c r="W213" i="5"/>
  <c r="W214" i="5"/>
  <c r="W215" i="5"/>
  <c r="W216" i="5"/>
  <c r="W217" i="5"/>
  <c r="W218" i="5"/>
  <c r="W219" i="5"/>
  <c r="W220" i="5"/>
  <c r="W221" i="5"/>
  <c r="W222" i="5"/>
  <c r="W223" i="5"/>
  <c r="W224" i="5"/>
  <c r="W225" i="5"/>
  <c r="W226" i="5"/>
  <c r="W227" i="5"/>
  <c r="W228" i="5"/>
  <c r="W229" i="5"/>
  <c r="W230" i="5"/>
  <c r="W231" i="5"/>
  <c r="W232" i="5"/>
  <c r="W233" i="5"/>
  <c r="W234" i="5"/>
  <c r="W235" i="5"/>
  <c r="W236" i="5"/>
  <c r="W237" i="5"/>
  <c r="W238" i="5"/>
  <c r="W239" i="5"/>
  <c r="W240" i="5"/>
  <c r="W241" i="5"/>
  <c r="W242" i="5"/>
  <c r="W243" i="5"/>
  <c r="W244" i="5"/>
  <c r="W245" i="5"/>
  <c r="W246" i="5"/>
  <c r="W247" i="5"/>
  <c r="W248" i="5"/>
  <c r="W249" i="5"/>
  <c r="W250" i="5"/>
  <c r="W251" i="5"/>
  <c r="W252" i="5"/>
  <c r="W253" i="5"/>
  <c r="W254" i="5"/>
  <c r="W255" i="5"/>
  <c r="W256" i="5"/>
  <c r="W257" i="5"/>
  <c r="W258" i="5"/>
  <c r="W259" i="5"/>
  <c r="W260" i="5"/>
  <c r="W261" i="5"/>
  <c r="W262" i="5"/>
  <c r="W263" i="5"/>
  <c r="W264" i="5"/>
  <c r="W265" i="5"/>
  <c r="W266" i="5"/>
  <c r="W267" i="5"/>
  <c r="W268" i="5"/>
  <c r="W269" i="5"/>
  <c r="W270" i="5"/>
  <c r="W271" i="5"/>
  <c r="W272" i="5"/>
  <c r="W273" i="5"/>
  <c r="W274" i="5"/>
  <c r="W275" i="5"/>
  <c r="W276" i="5"/>
  <c r="W277" i="5"/>
  <c r="W278" i="5"/>
  <c r="W279" i="5"/>
  <c r="W280" i="5"/>
  <c r="W281" i="5"/>
  <c r="W282" i="5"/>
  <c r="W283" i="5"/>
  <c r="W284" i="5"/>
  <c r="W285" i="5"/>
  <c r="W286" i="5"/>
  <c r="W287" i="5"/>
  <c r="W288" i="5"/>
  <c r="W289" i="5"/>
  <c r="W290" i="5"/>
  <c r="W291" i="5"/>
  <c r="W292" i="5"/>
  <c r="W293" i="5"/>
  <c r="W294" i="5"/>
  <c r="W295" i="5"/>
  <c r="W296" i="5"/>
  <c r="W297" i="5"/>
  <c r="W298" i="5"/>
  <c r="W299" i="5"/>
  <c r="W300" i="5"/>
  <c r="W301" i="5"/>
  <c r="W302" i="5"/>
  <c r="W303" i="5"/>
  <c r="W14" i="5"/>
  <c r="AR14" i="2" l="1"/>
  <c r="AF14" i="2" s="1"/>
  <c r="AR15" i="2"/>
  <c r="AF15" i="2" s="1"/>
  <c r="AR16" i="2"/>
  <c r="AF16" i="2" s="1"/>
  <c r="AR17" i="2"/>
  <c r="AF17" i="2" s="1"/>
  <c r="AR18" i="2"/>
  <c r="AF18" i="2" s="1"/>
  <c r="AR19" i="2"/>
  <c r="AE19" i="2" s="1"/>
  <c r="AH19" i="2" s="1"/>
  <c r="AR20" i="2"/>
  <c r="AE20" i="2" s="1"/>
  <c r="AH20" i="2" s="1"/>
  <c r="AR21" i="2"/>
  <c r="AF21" i="2" s="1"/>
  <c r="AR22" i="2"/>
  <c r="AE22" i="2" s="1"/>
  <c r="AH22" i="2" s="1"/>
  <c r="AR23" i="2"/>
  <c r="AE23" i="2" s="1"/>
  <c r="AH23" i="2" s="1"/>
  <c r="AR24" i="2"/>
  <c r="AF24" i="2" s="1"/>
  <c r="AR25" i="2"/>
  <c r="AF25" i="2" s="1"/>
  <c r="AR26" i="2"/>
  <c r="AF26" i="2" s="1"/>
  <c r="AR27" i="2"/>
  <c r="AF27" i="2" s="1"/>
  <c r="AR28" i="2"/>
  <c r="AE28" i="2" s="1"/>
  <c r="AH28" i="2" s="1"/>
  <c r="AR29" i="2"/>
  <c r="AF29" i="2" s="1"/>
  <c r="AR30" i="2"/>
  <c r="AF30" i="2" s="1"/>
  <c r="AR31" i="2"/>
  <c r="AF31" i="2" s="1"/>
  <c r="AR32" i="2"/>
  <c r="AF32" i="2" s="1"/>
  <c r="AR33" i="2"/>
  <c r="AE33" i="2" s="1"/>
  <c r="AH33" i="2" s="1"/>
  <c r="AR34" i="2"/>
  <c r="AF34" i="2" s="1"/>
  <c r="AR35" i="2"/>
  <c r="AE35" i="2" s="1"/>
  <c r="AH35" i="2" s="1"/>
  <c r="AR36" i="2"/>
  <c r="AE36" i="2" s="1"/>
  <c r="AH36" i="2" s="1"/>
  <c r="AR37" i="2"/>
  <c r="AF37" i="2" s="1"/>
  <c r="AR38" i="2"/>
  <c r="AF38" i="2" s="1"/>
  <c r="AR39" i="2"/>
  <c r="AF39" i="2" s="1"/>
  <c r="AR40" i="2"/>
  <c r="AF40" i="2" s="1"/>
  <c r="AR41" i="2"/>
  <c r="AE41" i="2" s="1"/>
  <c r="AH41" i="2" s="1"/>
  <c r="AM14" i="2"/>
  <c r="AM15" i="2"/>
  <c r="AM16" i="2"/>
  <c r="AM17" i="2"/>
  <c r="AM18" i="2"/>
  <c r="AM19" i="2"/>
  <c r="AM20" i="2"/>
  <c r="AM21" i="2"/>
  <c r="AM22" i="2"/>
  <c r="AM23" i="2"/>
  <c r="AM24" i="2"/>
  <c r="AM25" i="2"/>
  <c r="AM26" i="2"/>
  <c r="AM27" i="2"/>
  <c r="AM28" i="2"/>
  <c r="AM29" i="2"/>
  <c r="AM30" i="2"/>
  <c r="AM31" i="2"/>
  <c r="AM32" i="2"/>
  <c r="AM33" i="2"/>
  <c r="AM34" i="2"/>
  <c r="AM35" i="2"/>
  <c r="AM36" i="2"/>
  <c r="AM37" i="2"/>
  <c r="AM38" i="2"/>
  <c r="AM39" i="2"/>
  <c r="AM40" i="2"/>
  <c r="AM41"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F28" i="2"/>
  <c r="AF33" i="2"/>
  <c r="AF36" i="2"/>
  <c r="AF41" i="2"/>
  <c r="AE14" i="2"/>
  <c r="AH14" i="2" s="1"/>
  <c r="AE30" i="2"/>
  <c r="AH30" i="2" s="1"/>
  <c r="AF19" i="2" l="1"/>
  <c r="AE38" i="2"/>
  <c r="AH38" i="2" s="1"/>
  <c r="AE15" i="2"/>
  <c r="AH15" i="2" s="1"/>
  <c r="AE39" i="2"/>
  <c r="AH39" i="2" s="1"/>
  <c r="AE31" i="2"/>
  <c r="AH31" i="2" s="1"/>
  <c r="AE40" i="2"/>
  <c r="AH40" i="2" s="1"/>
  <c r="AE27" i="2"/>
  <c r="AH27" i="2" s="1"/>
  <c r="AE25" i="2"/>
  <c r="AH25" i="2" s="1"/>
  <c r="AE34" i="2"/>
  <c r="AH34" i="2" s="1"/>
  <c r="AE24" i="2"/>
  <c r="AH24" i="2" s="1"/>
  <c r="AE26" i="2"/>
  <c r="AH26" i="2" s="1"/>
  <c r="AE32" i="2"/>
  <c r="AH32" i="2" s="1"/>
  <c r="AE17" i="2"/>
  <c r="AH17" i="2" s="1"/>
  <c r="AF35" i="2"/>
  <c r="AE16" i="2"/>
  <c r="AH16" i="2" s="1"/>
  <c r="AF22" i="2"/>
  <c r="AF20" i="2"/>
  <c r="AF23" i="2"/>
  <c r="AE18" i="2"/>
  <c r="AH18" i="2" s="1"/>
  <c r="AE37" i="2"/>
  <c r="AH37" i="2" s="1"/>
  <c r="AE29" i="2"/>
  <c r="AH29" i="2" s="1"/>
  <c r="AE21" i="2"/>
  <c r="AH21" i="2" s="1"/>
  <c r="AI13" i="2"/>
  <c r="AJ13" i="2"/>
  <c r="AR13" i="2" l="1"/>
  <c r="AF13" i="2" l="1"/>
  <c r="AE13" i="2"/>
  <c r="AH13" i="2" s="1"/>
  <c r="AG27" i="2"/>
  <c r="AG25" i="2"/>
  <c r="AG30" i="2"/>
  <c r="AG33" i="2"/>
  <c r="AG26" i="2"/>
  <c r="AK15" i="2"/>
  <c r="AK16" i="2"/>
  <c r="AK17" i="2"/>
  <c r="AK20" i="2"/>
  <c r="AK21" i="2"/>
  <c r="AK22" i="2"/>
  <c r="AK23" i="2"/>
  <c r="AK24" i="2"/>
  <c r="AK25" i="2"/>
  <c r="AK26" i="2"/>
  <c r="AK27" i="2"/>
  <c r="AK28" i="2"/>
  <c r="AK29" i="2"/>
  <c r="AK30" i="2"/>
  <c r="AK31" i="2"/>
  <c r="AK32" i="2"/>
  <c r="AK33" i="2"/>
  <c r="AK34" i="2"/>
  <c r="AK35" i="2"/>
  <c r="AK36" i="2"/>
  <c r="AK37" i="2"/>
  <c r="AK38" i="2"/>
  <c r="AK39" i="2"/>
  <c r="AK40" i="2"/>
  <c r="AK41" i="2"/>
  <c r="AG22" i="2" l="1"/>
  <c r="AG17" i="2"/>
  <c r="AG34" i="2"/>
  <c r="AG18" i="2"/>
  <c r="AG14" i="2"/>
  <c r="AG19" i="2"/>
  <c r="AG38" i="2"/>
  <c r="AG35" i="2"/>
  <c r="AG15" i="2"/>
  <c r="AG39" i="2"/>
  <c r="AG23" i="2"/>
  <c r="AG40" i="2"/>
  <c r="AG24" i="2"/>
  <c r="AG16" i="2"/>
  <c r="AG31" i="2"/>
  <c r="AG28" i="2"/>
  <c r="AG36" i="2"/>
  <c r="AG20" i="2"/>
  <c r="AG32" i="2"/>
  <c r="AG41" i="2"/>
  <c r="AG37" i="2"/>
  <c r="AG29" i="2"/>
  <c r="AG21" i="2"/>
  <c r="AO13" i="2"/>
  <c r="AP14" i="2"/>
  <c r="AP15" i="2"/>
  <c r="AP16" i="2"/>
  <c r="AP17" i="2"/>
  <c r="AP18" i="2"/>
  <c r="AP19" i="2"/>
  <c r="AP20" i="2"/>
  <c r="AP21" i="2"/>
  <c r="AP22" i="2"/>
  <c r="AP23" i="2"/>
  <c r="AP24" i="2"/>
  <c r="AP25" i="2"/>
  <c r="AP26" i="2"/>
  <c r="AP27" i="2"/>
  <c r="AP28" i="2"/>
  <c r="AP29" i="2"/>
  <c r="AP30" i="2"/>
  <c r="AP31" i="2"/>
  <c r="AP32" i="2"/>
  <c r="AP33" i="2"/>
  <c r="AP34" i="2"/>
  <c r="AP35" i="2"/>
  <c r="AP36" i="2"/>
  <c r="AP37" i="2"/>
  <c r="AP38" i="2"/>
  <c r="AP39" i="2"/>
  <c r="AP40" i="2"/>
  <c r="AP41" i="2"/>
  <c r="AO14" i="2"/>
  <c r="AO15" i="2"/>
  <c r="AO16" i="2"/>
  <c r="AO17" i="2"/>
  <c r="AO18" i="2"/>
  <c r="AO19" i="2"/>
  <c r="AO20" i="2"/>
  <c r="AO21" i="2"/>
  <c r="AO22" i="2"/>
  <c r="AO23" i="2"/>
  <c r="AO24" i="2"/>
  <c r="AO25" i="2"/>
  <c r="AO26" i="2"/>
  <c r="AO27" i="2"/>
  <c r="AO28" i="2"/>
  <c r="AO29" i="2"/>
  <c r="AO30" i="2"/>
  <c r="AO31" i="2"/>
  <c r="AO32" i="2"/>
  <c r="AO33" i="2"/>
  <c r="AO34" i="2"/>
  <c r="AO35" i="2"/>
  <c r="AO36" i="2"/>
  <c r="AO37" i="2"/>
  <c r="AO38" i="2"/>
  <c r="AO39" i="2"/>
  <c r="AO40" i="2"/>
  <c r="AO41" i="2"/>
  <c r="AQ35" i="2" l="1"/>
  <c r="AQ27" i="2"/>
  <c r="AQ19" i="2"/>
  <c r="AQ38" i="2"/>
  <c r="AQ30" i="2"/>
  <c r="AQ22" i="2"/>
  <c r="AQ14" i="2"/>
  <c r="AQ37" i="2"/>
  <c r="AQ29" i="2"/>
  <c r="AQ21" i="2"/>
  <c r="AQ36" i="2"/>
  <c r="AQ28" i="2"/>
  <c r="AQ20" i="2"/>
  <c r="AQ34" i="2"/>
  <c r="AQ26" i="2"/>
  <c r="AQ18" i="2"/>
  <c r="AQ33" i="2"/>
  <c r="AQ17" i="2"/>
  <c r="AQ16" i="2"/>
  <c r="AQ41" i="2"/>
  <c r="AQ25" i="2"/>
  <c r="AQ40" i="2"/>
  <c r="AQ32" i="2"/>
  <c r="AQ24" i="2"/>
  <c r="AQ39" i="2"/>
  <c r="AQ31" i="2"/>
  <c r="AQ23" i="2"/>
  <c r="AQ15"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13" i="2"/>
  <c r="V15" i="2"/>
  <c r="J12" i="2"/>
  <c r="K12" i="2"/>
  <c r="L12" i="2"/>
  <c r="M12" i="2"/>
  <c r="I12" i="2"/>
  <c r="D12" i="2"/>
  <c r="AM13" i="2"/>
  <c r="AN25" i="2"/>
  <c r="AN26" i="2"/>
  <c r="AN27" i="2"/>
  <c r="AN33" i="2"/>
  <c r="AN34" i="2"/>
  <c r="AN35" i="2"/>
  <c r="AN41" i="2"/>
  <c r="AL13" i="2"/>
  <c r="AK14" i="2"/>
  <c r="AK19"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13" i="2"/>
  <c r="S14" i="2"/>
  <c r="U14" i="2"/>
  <c r="V14" i="2"/>
  <c r="W14" i="2"/>
  <c r="X14" i="2"/>
  <c r="Y14" i="2"/>
  <c r="Z14" i="2"/>
  <c r="AA14" i="2"/>
  <c r="AB14" i="2"/>
  <c r="AD14" i="2"/>
  <c r="S15" i="2"/>
  <c r="U15" i="2"/>
  <c r="W15" i="2"/>
  <c r="X15" i="2"/>
  <c r="Y15" i="2"/>
  <c r="Z15" i="2"/>
  <c r="AA15" i="2"/>
  <c r="AB15" i="2"/>
  <c r="AD15" i="2"/>
  <c r="S16" i="2"/>
  <c r="U16" i="2"/>
  <c r="V16" i="2"/>
  <c r="W16" i="2"/>
  <c r="X16" i="2"/>
  <c r="Y16" i="2"/>
  <c r="Z16" i="2"/>
  <c r="AA16" i="2"/>
  <c r="AB16" i="2"/>
  <c r="AD16" i="2"/>
  <c r="S17" i="2"/>
  <c r="U17" i="2"/>
  <c r="V17" i="2"/>
  <c r="W17" i="2"/>
  <c r="X17" i="2"/>
  <c r="Y17" i="2"/>
  <c r="Z17" i="2"/>
  <c r="AA17" i="2"/>
  <c r="AB17" i="2"/>
  <c r="AD17" i="2"/>
  <c r="S18" i="2"/>
  <c r="U18" i="2"/>
  <c r="V18" i="2"/>
  <c r="W18" i="2"/>
  <c r="X18" i="2"/>
  <c r="Y18" i="2"/>
  <c r="Z18" i="2"/>
  <c r="AA18" i="2"/>
  <c r="AB18" i="2"/>
  <c r="AD18" i="2"/>
  <c r="S19" i="2"/>
  <c r="U19" i="2"/>
  <c r="V19" i="2"/>
  <c r="W19" i="2"/>
  <c r="X19" i="2"/>
  <c r="Y19" i="2"/>
  <c r="Z19" i="2"/>
  <c r="AA19" i="2"/>
  <c r="AB19" i="2"/>
  <c r="AD19" i="2"/>
  <c r="S20" i="2"/>
  <c r="U20" i="2"/>
  <c r="V20" i="2"/>
  <c r="W20" i="2"/>
  <c r="X20" i="2"/>
  <c r="Y20" i="2"/>
  <c r="Z20" i="2"/>
  <c r="AA20" i="2"/>
  <c r="AB20" i="2"/>
  <c r="AD20" i="2"/>
  <c r="S21" i="2"/>
  <c r="U21" i="2"/>
  <c r="V21" i="2"/>
  <c r="W21" i="2"/>
  <c r="X21" i="2"/>
  <c r="Y21" i="2"/>
  <c r="Z21" i="2"/>
  <c r="AA21" i="2"/>
  <c r="AB21" i="2"/>
  <c r="AD21" i="2"/>
  <c r="S22" i="2"/>
  <c r="U22" i="2"/>
  <c r="V22" i="2"/>
  <c r="W22" i="2"/>
  <c r="X22" i="2"/>
  <c r="Y22" i="2"/>
  <c r="Z22" i="2"/>
  <c r="AA22" i="2"/>
  <c r="AB22" i="2"/>
  <c r="AD22" i="2"/>
  <c r="S23" i="2"/>
  <c r="U23" i="2"/>
  <c r="V23" i="2"/>
  <c r="W23" i="2"/>
  <c r="X23" i="2"/>
  <c r="Y23" i="2"/>
  <c r="Z23" i="2"/>
  <c r="AA23" i="2"/>
  <c r="AB23" i="2"/>
  <c r="AD23" i="2"/>
  <c r="S24" i="2"/>
  <c r="U24" i="2"/>
  <c r="V24" i="2"/>
  <c r="W24" i="2"/>
  <c r="X24" i="2"/>
  <c r="Y24" i="2"/>
  <c r="Z24" i="2"/>
  <c r="AA24" i="2"/>
  <c r="AB24" i="2"/>
  <c r="AD24" i="2"/>
  <c r="S25" i="2"/>
  <c r="U25" i="2"/>
  <c r="V25" i="2"/>
  <c r="W25" i="2"/>
  <c r="X25" i="2"/>
  <c r="Y25" i="2"/>
  <c r="Z25" i="2"/>
  <c r="AA25" i="2"/>
  <c r="AB25" i="2"/>
  <c r="AD25" i="2"/>
  <c r="S26" i="2"/>
  <c r="U26" i="2"/>
  <c r="V26" i="2"/>
  <c r="W26" i="2"/>
  <c r="X26" i="2"/>
  <c r="Y26" i="2"/>
  <c r="Z26" i="2"/>
  <c r="AA26" i="2"/>
  <c r="AB26" i="2"/>
  <c r="AD26" i="2"/>
  <c r="S27" i="2"/>
  <c r="U27" i="2"/>
  <c r="V27" i="2"/>
  <c r="W27" i="2"/>
  <c r="X27" i="2"/>
  <c r="Y27" i="2"/>
  <c r="Z27" i="2"/>
  <c r="AA27" i="2"/>
  <c r="AB27" i="2"/>
  <c r="AD27" i="2"/>
  <c r="S28" i="2"/>
  <c r="U28" i="2"/>
  <c r="V28" i="2"/>
  <c r="W28" i="2"/>
  <c r="X28" i="2"/>
  <c r="Y28" i="2"/>
  <c r="Z28" i="2"/>
  <c r="AA28" i="2"/>
  <c r="AB28" i="2"/>
  <c r="AD28" i="2"/>
  <c r="S29" i="2"/>
  <c r="U29" i="2"/>
  <c r="V29" i="2"/>
  <c r="W29" i="2"/>
  <c r="X29" i="2"/>
  <c r="Y29" i="2"/>
  <c r="Z29" i="2"/>
  <c r="AA29" i="2"/>
  <c r="AB29" i="2"/>
  <c r="AD29" i="2"/>
  <c r="S30" i="2"/>
  <c r="U30" i="2"/>
  <c r="V30" i="2"/>
  <c r="W30" i="2"/>
  <c r="X30" i="2"/>
  <c r="Y30" i="2"/>
  <c r="Z30" i="2"/>
  <c r="AA30" i="2"/>
  <c r="AB30" i="2"/>
  <c r="AD30" i="2"/>
  <c r="S31" i="2"/>
  <c r="U31" i="2"/>
  <c r="V31" i="2"/>
  <c r="W31" i="2"/>
  <c r="X31" i="2"/>
  <c r="Y31" i="2"/>
  <c r="Z31" i="2"/>
  <c r="AA31" i="2"/>
  <c r="AB31" i="2"/>
  <c r="AD31" i="2"/>
  <c r="S32" i="2"/>
  <c r="U32" i="2"/>
  <c r="V32" i="2"/>
  <c r="W32" i="2"/>
  <c r="X32" i="2"/>
  <c r="Y32" i="2"/>
  <c r="Z32" i="2"/>
  <c r="AA32" i="2"/>
  <c r="AB32" i="2"/>
  <c r="AD32" i="2"/>
  <c r="S33" i="2"/>
  <c r="U33" i="2"/>
  <c r="V33" i="2"/>
  <c r="W33" i="2"/>
  <c r="X33" i="2"/>
  <c r="Y33" i="2"/>
  <c r="Z33" i="2"/>
  <c r="AA33" i="2"/>
  <c r="AB33" i="2"/>
  <c r="AD33" i="2"/>
  <c r="S34" i="2"/>
  <c r="U34" i="2"/>
  <c r="V34" i="2"/>
  <c r="W34" i="2"/>
  <c r="X34" i="2"/>
  <c r="Y34" i="2"/>
  <c r="Z34" i="2"/>
  <c r="AA34" i="2"/>
  <c r="AB34" i="2"/>
  <c r="AD34" i="2"/>
  <c r="S35" i="2"/>
  <c r="U35" i="2"/>
  <c r="V35" i="2"/>
  <c r="W35" i="2"/>
  <c r="X35" i="2"/>
  <c r="Y35" i="2"/>
  <c r="Z35" i="2"/>
  <c r="AA35" i="2"/>
  <c r="AB35" i="2"/>
  <c r="AD35" i="2"/>
  <c r="S36" i="2"/>
  <c r="U36" i="2"/>
  <c r="V36" i="2"/>
  <c r="W36" i="2"/>
  <c r="X36" i="2"/>
  <c r="Y36" i="2"/>
  <c r="Z36" i="2"/>
  <c r="AA36" i="2"/>
  <c r="AB36" i="2"/>
  <c r="AD36" i="2"/>
  <c r="S37" i="2"/>
  <c r="U37" i="2"/>
  <c r="V37" i="2"/>
  <c r="W37" i="2"/>
  <c r="X37" i="2"/>
  <c r="Y37" i="2"/>
  <c r="Z37" i="2"/>
  <c r="AA37" i="2"/>
  <c r="AB37" i="2"/>
  <c r="AD37" i="2"/>
  <c r="S38" i="2"/>
  <c r="U38" i="2"/>
  <c r="V38" i="2"/>
  <c r="W38" i="2"/>
  <c r="X38" i="2"/>
  <c r="Y38" i="2"/>
  <c r="Z38" i="2"/>
  <c r="AA38" i="2"/>
  <c r="AB38" i="2"/>
  <c r="AD38" i="2"/>
  <c r="S39" i="2"/>
  <c r="U39" i="2"/>
  <c r="V39" i="2"/>
  <c r="W39" i="2"/>
  <c r="X39" i="2"/>
  <c r="Y39" i="2"/>
  <c r="Z39" i="2"/>
  <c r="AA39" i="2"/>
  <c r="AB39" i="2"/>
  <c r="AD39" i="2"/>
  <c r="S40" i="2"/>
  <c r="U40" i="2"/>
  <c r="V40" i="2"/>
  <c r="W40" i="2"/>
  <c r="X40" i="2"/>
  <c r="Y40" i="2"/>
  <c r="Z40" i="2"/>
  <c r="AA40" i="2"/>
  <c r="AB40" i="2"/>
  <c r="AD40" i="2"/>
  <c r="S41" i="2"/>
  <c r="U41" i="2"/>
  <c r="V41" i="2"/>
  <c r="W41" i="2"/>
  <c r="X41" i="2"/>
  <c r="Y41" i="2"/>
  <c r="Z41" i="2"/>
  <c r="AA41" i="2"/>
  <c r="AB41" i="2"/>
  <c r="AD41" i="2"/>
  <c r="AD13" i="2"/>
  <c r="AB13" i="2"/>
  <c r="AA13" i="2"/>
  <c r="Z13" i="2"/>
  <c r="Y13" i="2"/>
  <c r="X13" i="2"/>
  <c r="W13" i="2"/>
  <c r="V13" i="2"/>
  <c r="U13" i="2"/>
  <c r="S13" i="2"/>
  <c r="AN17" i="2" l="1"/>
  <c r="AN14" i="2"/>
  <c r="AN18" i="2"/>
  <c r="AN32" i="2"/>
  <c r="AN16" i="2"/>
  <c r="AN39" i="2"/>
  <c r="AN31" i="2"/>
  <c r="AN23" i="2"/>
  <c r="AN15" i="2"/>
  <c r="AN38" i="2"/>
  <c r="AN30" i="2"/>
  <c r="AN22" i="2"/>
  <c r="AN40" i="2"/>
  <c r="AN24" i="2"/>
  <c r="AN37" i="2"/>
  <c r="AN29" i="2"/>
  <c r="AN21" i="2"/>
  <c r="AN36" i="2"/>
  <c r="AN28" i="2"/>
  <c r="AN20" i="2"/>
  <c r="AK13" i="2"/>
  <c r="AN19" i="2"/>
  <c r="AK18" i="2"/>
  <c r="AN13" i="2"/>
  <c r="AP13" i="2"/>
  <c r="AQ13" i="2" s="1"/>
  <c r="Q26" i="2"/>
  <c r="Q29" i="2"/>
  <c r="Q31" i="2"/>
  <c r="Q35" i="2"/>
  <c r="Q22" i="2"/>
  <c r="P22" i="2" s="1"/>
  <c r="Q36" i="2"/>
  <c r="Q19" i="2"/>
  <c r="P19" i="2" s="1"/>
  <c r="Q17" i="2"/>
  <c r="P17" i="2" s="1"/>
  <c r="Q14" i="2"/>
  <c r="P14" i="2" s="1"/>
  <c r="Q37" i="2"/>
  <c r="Q25" i="2"/>
  <c r="Q23" i="2"/>
  <c r="P23" i="2" s="1"/>
  <c r="Q40" i="2"/>
  <c r="Q39" i="2"/>
  <c r="Q38" i="2"/>
  <c r="Q30" i="2"/>
  <c r="Q24" i="2"/>
  <c r="Q20" i="2"/>
  <c r="P20" i="2" s="1"/>
  <c r="Q18" i="2"/>
  <c r="P18" i="2" s="1"/>
  <c r="Q33" i="2"/>
  <c r="Q15" i="2"/>
  <c r="P15" i="2" s="1"/>
  <c r="Q34" i="2"/>
  <c r="Q27" i="2"/>
  <c r="Q41" i="2"/>
  <c r="Q21" i="2"/>
  <c r="P21" i="2" s="1"/>
  <c r="Q32" i="2"/>
  <c r="Q28" i="2"/>
  <c r="Q16" i="2"/>
  <c r="P16" i="2" s="1"/>
  <c r="P3" i="2"/>
  <c r="P4" i="2"/>
  <c r="P5" i="2"/>
  <c r="P6" i="2"/>
  <c r="P2" i="2"/>
  <c r="E3" i="2"/>
  <c r="E4" i="2"/>
  <c r="E5" i="2"/>
  <c r="E6" i="2"/>
  <c r="E2" i="2"/>
  <c r="AG13" i="2" l="1"/>
  <c r="Q13" i="2"/>
  <c r="P13" i="2" s="1"/>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C108" i="5"/>
  <c r="AC109" i="5"/>
  <c r="AC110" i="5"/>
  <c r="AC111" i="5"/>
  <c r="AC112" i="5"/>
  <c r="AC113" i="5"/>
  <c r="AC114" i="5"/>
  <c r="AC115" i="5"/>
  <c r="AC116" i="5"/>
  <c r="AC117" i="5"/>
  <c r="AC118" i="5"/>
  <c r="AC119" i="5"/>
  <c r="AC120" i="5"/>
  <c r="AC121" i="5"/>
  <c r="AC122" i="5"/>
  <c r="AC123" i="5"/>
  <c r="AC124" i="5"/>
  <c r="AC125" i="5"/>
  <c r="AC126" i="5"/>
  <c r="AC127" i="5"/>
  <c r="AC128" i="5"/>
  <c r="AC129" i="5"/>
  <c r="AC130" i="5"/>
  <c r="AC131" i="5"/>
  <c r="AC132" i="5"/>
  <c r="AC133" i="5"/>
  <c r="AC134" i="5"/>
  <c r="AC135" i="5"/>
  <c r="AC136" i="5"/>
  <c r="AC137" i="5"/>
  <c r="AC138" i="5"/>
  <c r="AC139" i="5"/>
  <c r="AC140" i="5"/>
  <c r="AC141" i="5"/>
  <c r="AC142" i="5"/>
  <c r="AC143" i="5"/>
  <c r="AC144" i="5"/>
  <c r="AC145" i="5"/>
  <c r="AC146" i="5"/>
  <c r="AC147" i="5"/>
  <c r="AC148" i="5"/>
  <c r="AC149" i="5"/>
  <c r="AC150" i="5"/>
  <c r="AC151" i="5"/>
  <c r="AC152" i="5"/>
  <c r="AC153" i="5"/>
  <c r="AC154" i="5"/>
  <c r="AC155" i="5"/>
  <c r="AC156" i="5"/>
  <c r="AC157" i="5"/>
  <c r="AC158" i="5"/>
  <c r="AC159" i="5"/>
  <c r="AC160" i="5"/>
  <c r="AC161" i="5"/>
  <c r="AC162" i="5"/>
  <c r="AC163" i="5"/>
  <c r="AC164" i="5"/>
  <c r="AC165" i="5"/>
  <c r="AC166" i="5"/>
  <c r="AC167" i="5"/>
  <c r="AC168" i="5"/>
  <c r="AC169" i="5"/>
  <c r="AC170" i="5"/>
  <c r="AC171" i="5"/>
  <c r="AC172" i="5"/>
  <c r="AC173" i="5"/>
  <c r="AC174" i="5"/>
  <c r="AC175" i="5"/>
  <c r="AC176" i="5"/>
  <c r="AC177" i="5"/>
  <c r="AC178" i="5"/>
  <c r="AC179" i="5"/>
  <c r="AC180" i="5"/>
  <c r="AC181" i="5"/>
  <c r="AC182" i="5"/>
  <c r="AC183" i="5"/>
  <c r="AC184" i="5"/>
  <c r="AC185" i="5"/>
  <c r="AC186" i="5"/>
  <c r="AC187" i="5"/>
  <c r="AC188" i="5"/>
  <c r="AC189" i="5"/>
  <c r="AC190" i="5"/>
  <c r="AC191" i="5"/>
  <c r="AC192" i="5"/>
  <c r="AC193" i="5"/>
  <c r="AC194" i="5"/>
  <c r="AC195" i="5"/>
  <c r="AC196" i="5"/>
  <c r="AC197" i="5"/>
  <c r="AC198" i="5"/>
  <c r="AC199" i="5"/>
  <c r="AC200" i="5"/>
  <c r="AC201" i="5"/>
  <c r="AC202" i="5"/>
  <c r="AC203" i="5"/>
  <c r="AC204" i="5"/>
  <c r="AC205" i="5"/>
  <c r="AC206" i="5"/>
  <c r="AC207" i="5"/>
  <c r="AC208" i="5"/>
  <c r="AC209" i="5"/>
  <c r="AC210" i="5"/>
  <c r="AC211" i="5"/>
  <c r="AC212" i="5"/>
  <c r="AC213" i="5"/>
  <c r="AC214" i="5"/>
  <c r="AC215" i="5"/>
  <c r="AC216" i="5"/>
  <c r="AC217" i="5"/>
  <c r="AC218" i="5"/>
  <c r="AC219" i="5"/>
  <c r="AC220" i="5"/>
  <c r="AC221" i="5"/>
  <c r="AC222" i="5"/>
  <c r="AC223" i="5"/>
  <c r="AC224" i="5"/>
  <c r="AC225" i="5"/>
  <c r="AC226" i="5"/>
  <c r="AC227" i="5"/>
  <c r="AC228" i="5"/>
  <c r="AC229" i="5"/>
  <c r="AC230" i="5"/>
  <c r="AC231" i="5"/>
  <c r="AC232" i="5"/>
  <c r="AC233" i="5"/>
  <c r="AC234" i="5"/>
  <c r="AC235" i="5"/>
  <c r="AC236" i="5"/>
  <c r="AC237" i="5"/>
  <c r="AC238" i="5"/>
  <c r="AC239" i="5"/>
  <c r="AC240" i="5"/>
  <c r="AC241" i="5"/>
  <c r="AC242" i="5"/>
  <c r="AC243" i="5"/>
  <c r="AC244" i="5"/>
  <c r="AC245" i="5"/>
  <c r="AC246" i="5"/>
  <c r="AC247" i="5"/>
  <c r="AC248" i="5"/>
  <c r="AC249" i="5"/>
  <c r="AC250" i="5"/>
  <c r="AC251" i="5"/>
  <c r="AC252" i="5"/>
  <c r="AC253" i="5"/>
  <c r="AC254" i="5"/>
  <c r="AC255" i="5"/>
  <c r="AC256" i="5"/>
  <c r="AC257" i="5"/>
  <c r="AC258" i="5"/>
  <c r="AC259" i="5"/>
  <c r="AC260" i="5"/>
  <c r="AC261" i="5"/>
  <c r="AC262" i="5"/>
  <c r="AC263" i="5"/>
  <c r="AC264" i="5"/>
  <c r="AC265" i="5"/>
  <c r="AC266" i="5"/>
  <c r="AC267" i="5"/>
  <c r="AC268" i="5"/>
  <c r="AC269" i="5"/>
  <c r="AC270" i="5"/>
  <c r="AC271" i="5"/>
  <c r="AC272" i="5"/>
  <c r="AC273" i="5"/>
  <c r="AC274" i="5"/>
  <c r="AC275" i="5"/>
  <c r="AC276" i="5"/>
  <c r="AC277" i="5"/>
  <c r="AC278" i="5"/>
  <c r="AC279" i="5"/>
  <c r="AC280" i="5"/>
  <c r="AC281" i="5"/>
  <c r="AC282" i="5"/>
  <c r="AC283" i="5"/>
  <c r="AC284" i="5"/>
  <c r="AC285" i="5"/>
  <c r="AC286" i="5"/>
  <c r="AC287" i="5"/>
  <c r="AC288" i="5"/>
  <c r="AC289" i="5"/>
  <c r="AC290" i="5"/>
  <c r="AC291" i="5"/>
  <c r="AC292" i="5"/>
  <c r="AC293" i="5"/>
  <c r="AC294" i="5"/>
  <c r="AC295" i="5"/>
  <c r="AC296" i="5"/>
  <c r="AC297" i="5"/>
  <c r="AC298" i="5"/>
  <c r="AC299" i="5"/>
  <c r="AC300" i="5"/>
  <c r="AC301" i="5"/>
  <c r="AC302" i="5"/>
  <c r="AC303" i="5"/>
  <c r="AC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5" i="5"/>
  <c r="AJ66" i="5"/>
  <c r="AJ67" i="5"/>
  <c r="AJ68" i="5"/>
  <c r="AJ69" i="5"/>
  <c r="AJ70" i="5"/>
  <c r="AJ71" i="5"/>
  <c r="AJ72" i="5"/>
  <c r="AJ73" i="5"/>
  <c r="AJ74" i="5"/>
  <c r="AJ75" i="5"/>
  <c r="AJ76" i="5"/>
  <c r="AJ77" i="5"/>
  <c r="AJ78" i="5"/>
  <c r="AJ79" i="5"/>
  <c r="AJ80" i="5"/>
  <c r="AJ81" i="5"/>
  <c r="AJ82" i="5"/>
  <c r="AJ83" i="5"/>
  <c r="AJ84" i="5"/>
  <c r="AJ85" i="5"/>
  <c r="AJ86" i="5"/>
  <c r="AJ87" i="5"/>
  <c r="AJ88" i="5"/>
  <c r="AJ89" i="5"/>
  <c r="AJ90" i="5"/>
  <c r="AJ91" i="5"/>
  <c r="AJ92" i="5"/>
  <c r="AJ93" i="5"/>
  <c r="AJ94" i="5"/>
  <c r="AJ95" i="5"/>
  <c r="AJ96" i="5"/>
  <c r="AJ97" i="5"/>
  <c r="AJ98" i="5"/>
  <c r="AJ99" i="5"/>
  <c r="AJ100" i="5"/>
  <c r="AJ101" i="5"/>
  <c r="AJ102" i="5"/>
  <c r="AJ103" i="5"/>
  <c r="AJ104" i="5"/>
  <c r="AJ105" i="5"/>
  <c r="AJ106" i="5"/>
  <c r="AJ107" i="5"/>
  <c r="AJ108" i="5"/>
  <c r="AJ109" i="5"/>
  <c r="AJ110" i="5"/>
  <c r="AJ111" i="5"/>
  <c r="AJ112" i="5"/>
  <c r="AJ113" i="5"/>
  <c r="AJ114" i="5"/>
  <c r="AJ115" i="5"/>
  <c r="AJ116" i="5"/>
  <c r="AJ117" i="5"/>
  <c r="AJ118" i="5"/>
  <c r="AJ119" i="5"/>
  <c r="AJ120" i="5"/>
  <c r="AJ121" i="5"/>
  <c r="AJ122" i="5"/>
  <c r="AJ123" i="5"/>
  <c r="AJ124" i="5"/>
  <c r="AJ125" i="5"/>
  <c r="AJ126" i="5"/>
  <c r="AJ127" i="5"/>
  <c r="AJ128" i="5"/>
  <c r="AJ129" i="5"/>
  <c r="AJ130" i="5"/>
  <c r="AJ131" i="5"/>
  <c r="AJ132" i="5"/>
  <c r="AJ133" i="5"/>
  <c r="AJ134" i="5"/>
  <c r="AJ135" i="5"/>
  <c r="AJ136" i="5"/>
  <c r="AJ137" i="5"/>
  <c r="AJ138" i="5"/>
  <c r="AJ139" i="5"/>
  <c r="AJ140" i="5"/>
  <c r="AJ141" i="5"/>
  <c r="AJ142" i="5"/>
  <c r="AJ143" i="5"/>
  <c r="AJ144" i="5"/>
  <c r="AJ145" i="5"/>
  <c r="AJ146" i="5"/>
  <c r="AJ147" i="5"/>
  <c r="AJ148" i="5"/>
  <c r="AJ149" i="5"/>
  <c r="AJ150" i="5"/>
  <c r="AJ151" i="5"/>
  <c r="AJ152" i="5"/>
  <c r="AJ153" i="5"/>
  <c r="AJ154" i="5"/>
  <c r="AJ155" i="5"/>
  <c r="AJ156" i="5"/>
  <c r="AJ157" i="5"/>
  <c r="AJ158" i="5"/>
  <c r="AJ159" i="5"/>
  <c r="AJ160" i="5"/>
  <c r="AJ161" i="5"/>
  <c r="AJ162" i="5"/>
  <c r="AJ163" i="5"/>
  <c r="AJ164" i="5"/>
  <c r="AJ165" i="5"/>
  <c r="AJ166" i="5"/>
  <c r="AJ167" i="5"/>
  <c r="AJ168" i="5"/>
  <c r="AJ169" i="5"/>
  <c r="AJ170" i="5"/>
  <c r="AJ171" i="5"/>
  <c r="AJ172" i="5"/>
  <c r="AJ173" i="5"/>
  <c r="AJ174" i="5"/>
  <c r="AJ175" i="5"/>
  <c r="AJ176" i="5"/>
  <c r="AJ177" i="5"/>
  <c r="AJ178" i="5"/>
  <c r="AJ179" i="5"/>
  <c r="AJ180" i="5"/>
  <c r="AJ181" i="5"/>
  <c r="AJ182" i="5"/>
  <c r="AJ183" i="5"/>
  <c r="AJ184" i="5"/>
  <c r="AJ185" i="5"/>
  <c r="AJ186" i="5"/>
  <c r="AJ187" i="5"/>
  <c r="AJ188" i="5"/>
  <c r="AJ189" i="5"/>
  <c r="AJ190" i="5"/>
  <c r="AJ191" i="5"/>
  <c r="AJ192" i="5"/>
  <c r="AJ193" i="5"/>
  <c r="AJ194" i="5"/>
  <c r="AJ195" i="5"/>
  <c r="AJ196" i="5"/>
  <c r="AJ197" i="5"/>
  <c r="AJ198" i="5"/>
  <c r="AJ199" i="5"/>
  <c r="AJ200" i="5"/>
  <c r="AJ201" i="5"/>
  <c r="AJ202" i="5"/>
  <c r="AJ203" i="5"/>
  <c r="AJ204" i="5"/>
  <c r="AJ205" i="5"/>
  <c r="AJ206" i="5"/>
  <c r="AJ207" i="5"/>
  <c r="AJ208" i="5"/>
  <c r="AJ209" i="5"/>
  <c r="AJ210" i="5"/>
  <c r="AJ211" i="5"/>
  <c r="AJ212" i="5"/>
  <c r="AJ213" i="5"/>
  <c r="AJ214" i="5"/>
  <c r="AJ215" i="5"/>
  <c r="AJ216" i="5"/>
  <c r="AJ217" i="5"/>
  <c r="AJ218" i="5"/>
  <c r="AJ219" i="5"/>
  <c r="AJ220" i="5"/>
  <c r="AJ221" i="5"/>
  <c r="AJ222" i="5"/>
  <c r="AJ223" i="5"/>
  <c r="AJ224" i="5"/>
  <c r="AJ225" i="5"/>
  <c r="AJ226" i="5"/>
  <c r="AJ227" i="5"/>
  <c r="AJ228" i="5"/>
  <c r="AJ229" i="5"/>
  <c r="AJ230" i="5"/>
  <c r="AJ231" i="5"/>
  <c r="AJ232" i="5"/>
  <c r="AJ233" i="5"/>
  <c r="AJ234" i="5"/>
  <c r="AJ235" i="5"/>
  <c r="AJ236" i="5"/>
  <c r="AJ237" i="5"/>
  <c r="AJ238" i="5"/>
  <c r="AJ239" i="5"/>
  <c r="AJ240" i="5"/>
  <c r="AJ241" i="5"/>
  <c r="AJ242" i="5"/>
  <c r="AJ243" i="5"/>
  <c r="AJ244" i="5"/>
  <c r="AJ245" i="5"/>
  <c r="AJ246" i="5"/>
  <c r="AJ247" i="5"/>
  <c r="AJ248" i="5"/>
  <c r="AJ249" i="5"/>
  <c r="AJ250" i="5"/>
  <c r="AJ251" i="5"/>
  <c r="AJ252" i="5"/>
  <c r="AJ253" i="5"/>
  <c r="AJ254" i="5"/>
  <c r="AJ255" i="5"/>
  <c r="AJ256" i="5"/>
  <c r="AJ257" i="5"/>
  <c r="AJ258" i="5"/>
  <c r="AJ259" i="5"/>
  <c r="AJ260" i="5"/>
  <c r="AJ261" i="5"/>
  <c r="AJ262" i="5"/>
  <c r="AJ263" i="5"/>
  <c r="AJ264" i="5"/>
  <c r="AJ265" i="5"/>
  <c r="AJ266" i="5"/>
  <c r="AJ267" i="5"/>
  <c r="AJ268" i="5"/>
  <c r="AJ269" i="5"/>
  <c r="AJ270" i="5"/>
  <c r="AJ271" i="5"/>
  <c r="AJ272" i="5"/>
  <c r="AJ273" i="5"/>
  <c r="AJ274" i="5"/>
  <c r="AJ275" i="5"/>
  <c r="AJ276" i="5"/>
  <c r="AJ277" i="5"/>
  <c r="AJ278" i="5"/>
  <c r="AJ279" i="5"/>
  <c r="AJ280" i="5"/>
  <c r="AJ281" i="5"/>
  <c r="AJ282" i="5"/>
  <c r="AJ283" i="5"/>
  <c r="AJ284" i="5"/>
  <c r="AJ285" i="5"/>
  <c r="AJ286" i="5"/>
  <c r="AJ287" i="5"/>
  <c r="AJ288" i="5"/>
  <c r="AJ289" i="5"/>
  <c r="AJ290" i="5"/>
  <c r="AJ291" i="5"/>
  <c r="AJ292" i="5"/>
  <c r="AJ293" i="5"/>
  <c r="AJ294" i="5"/>
  <c r="AJ295" i="5"/>
  <c r="AJ296" i="5"/>
  <c r="AJ297" i="5"/>
  <c r="AJ298" i="5"/>
  <c r="AJ299" i="5"/>
  <c r="AJ300" i="5"/>
  <c r="AJ301" i="5"/>
  <c r="AJ302" i="5"/>
  <c r="AJ303" i="5"/>
  <c r="AJ14" i="5"/>
  <c r="AK15" i="5"/>
  <c r="AK16" i="5"/>
  <c r="AK17" i="5"/>
  <c r="AK18" i="5"/>
  <c r="AK19" i="5"/>
  <c r="AK20" i="5"/>
  <c r="AK21" i="5"/>
  <c r="AK22" i="5"/>
  <c r="AK23" i="5"/>
  <c r="AK24" i="5"/>
  <c r="AK25" i="5"/>
  <c r="AK26" i="5"/>
  <c r="AK27" i="5"/>
  <c r="AK28" i="5"/>
  <c r="AK29" i="5"/>
  <c r="AK30" i="5"/>
  <c r="AK31" i="5"/>
  <c r="AK32" i="5"/>
  <c r="AK33" i="5"/>
  <c r="AK34" i="5"/>
  <c r="AK35" i="5"/>
  <c r="AK36"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K64" i="5"/>
  <c r="AK65" i="5"/>
  <c r="AK66" i="5"/>
  <c r="AK67" i="5"/>
  <c r="AK68" i="5"/>
  <c r="AK69" i="5"/>
  <c r="AK70" i="5"/>
  <c r="AK71" i="5"/>
  <c r="AK72" i="5"/>
  <c r="AK73" i="5"/>
  <c r="AK74" i="5"/>
  <c r="AK75" i="5"/>
  <c r="AK76" i="5"/>
  <c r="AK77" i="5"/>
  <c r="AK78" i="5"/>
  <c r="AK79" i="5"/>
  <c r="AK80" i="5"/>
  <c r="AK81" i="5"/>
  <c r="AK82" i="5"/>
  <c r="AK83" i="5"/>
  <c r="AK84" i="5"/>
  <c r="AK85" i="5"/>
  <c r="AK86" i="5"/>
  <c r="AK87" i="5"/>
  <c r="AK88" i="5"/>
  <c r="AK89" i="5"/>
  <c r="AK90" i="5"/>
  <c r="AK91" i="5"/>
  <c r="AK92" i="5"/>
  <c r="AK93" i="5"/>
  <c r="AK94" i="5"/>
  <c r="AK95" i="5"/>
  <c r="AK96" i="5"/>
  <c r="AK97" i="5"/>
  <c r="AK98" i="5"/>
  <c r="AK99" i="5"/>
  <c r="AK100" i="5"/>
  <c r="AK101" i="5"/>
  <c r="AK102" i="5"/>
  <c r="AK103" i="5"/>
  <c r="AK104" i="5"/>
  <c r="AK105" i="5"/>
  <c r="AK106" i="5"/>
  <c r="AK107" i="5"/>
  <c r="AK108" i="5"/>
  <c r="AK109" i="5"/>
  <c r="AK110" i="5"/>
  <c r="AK111" i="5"/>
  <c r="AK112" i="5"/>
  <c r="AK113" i="5"/>
  <c r="AK114" i="5"/>
  <c r="AK115" i="5"/>
  <c r="AK116" i="5"/>
  <c r="AK117" i="5"/>
  <c r="AK118" i="5"/>
  <c r="AK119" i="5"/>
  <c r="AK120" i="5"/>
  <c r="AK121" i="5"/>
  <c r="AK122" i="5"/>
  <c r="AK123" i="5"/>
  <c r="AK124" i="5"/>
  <c r="AK125" i="5"/>
  <c r="AK126" i="5"/>
  <c r="AK127" i="5"/>
  <c r="AK128" i="5"/>
  <c r="AK129" i="5"/>
  <c r="AK130" i="5"/>
  <c r="AK131" i="5"/>
  <c r="AK132" i="5"/>
  <c r="AK133" i="5"/>
  <c r="AK134" i="5"/>
  <c r="AK135" i="5"/>
  <c r="AK136" i="5"/>
  <c r="AK137" i="5"/>
  <c r="AK138" i="5"/>
  <c r="AK139" i="5"/>
  <c r="AK140" i="5"/>
  <c r="AK141" i="5"/>
  <c r="AK142" i="5"/>
  <c r="AK143" i="5"/>
  <c r="AK144" i="5"/>
  <c r="AK145" i="5"/>
  <c r="AK146" i="5"/>
  <c r="AK147" i="5"/>
  <c r="AK148" i="5"/>
  <c r="AK149" i="5"/>
  <c r="AK150" i="5"/>
  <c r="AK151" i="5"/>
  <c r="AK152" i="5"/>
  <c r="AK153" i="5"/>
  <c r="AK154" i="5"/>
  <c r="AK155" i="5"/>
  <c r="AK156" i="5"/>
  <c r="AK157" i="5"/>
  <c r="AK158" i="5"/>
  <c r="AK159" i="5"/>
  <c r="AK160" i="5"/>
  <c r="AK161" i="5"/>
  <c r="AK162" i="5"/>
  <c r="AK163" i="5"/>
  <c r="AK164" i="5"/>
  <c r="AK165" i="5"/>
  <c r="AK166" i="5"/>
  <c r="AK167" i="5"/>
  <c r="AK168" i="5"/>
  <c r="AK169" i="5"/>
  <c r="AK170" i="5"/>
  <c r="AK171" i="5"/>
  <c r="AK172" i="5"/>
  <c r="AK173" i="5"/>
  <c r="AK174" i="5"/>
  <c r="AK175" i="5"/>
  <c r="AK176" i="5"/>
  <c r="AK177" i="5"/>
  <c r="AK178" i="5"/>
  <c r="AK179" i="5"/>
  <c r="AK180" i="5"/>
  <c r="AK181" i="5"/>
  <c r="AK182" i="5"/>
  <c r="AK183" i="5"/>
  <c r="AK184" i="5"/>
  <c r="AK185" i="5"/>
  <c r="AK186" i="5"/>
  <c r="AK187" i="5"/>
  <c r="AK188" i="5"/>
  <c r="AK189" i="5"/>
  <c r="AK190" i="5"/>
  <c r="AK191" i="5"/>
  <c r="AK192" i="5"/>
  <c r="AK193" i="5"/>
  <c r="AK194" i="5"/>
  <c r="AK195" i="5"/>
  <c r="AK196" i="5"/>
  <c r="AK197" i="5"/>
  <c r="AK198" i="5"/>
  <c r="AK199" i="5"/>
  <c r="AK200" i="5"/>
  <c r="AK201" i="5"/>
  <c r="AK202" i="5"/>
  <c r="AK203" i="5"/>
  <c r="AK204" i="5"/>
  <c r="AK205" i="5"/>
  <c r="AK206" i="5"/>
  <c r="AK207" i="5"/>
  <c r="AK208" i="5"/>
  <c r="AK209" i="5"/>
  <c r="AK210" i="5"/>
  <c r="AK211" i="5"/>
  <c r="AK212" i="5"/>
  <c r="AK213" i="5"/>
  <c r="AK214" i="5"/>
  <c r="AK215" i="5"/>
  <c r="AK216" i="5"/>
  <c r="AK217" i="5"/>
  <c r="AK218" i="5"/>
  <c r="AK219" i="5"/>
  <c r="AK220" i="5"/>
  <c r="AK221" i="5"/>
  <c r="AK222" i="5"/>
  <c r="AK223" i="5"/>
  <c r="AK224" i="5"/>
  <c r="AK225" i="5"/>
  <c r="AK226" i="5"/>
  <c r="AK227" i="5"/>
  <c r="AK228" i="5"/>
  <c r="AK229" i="5"/>
  <c r="AK230" i="5"/>
  <c r="AK231" i="5"/>
  <c r="AK232" i="5"/>
  <c r="AK233" i="5"/>
  <c r="AK234" i="5"/>
  <c r="AK235" i="5"/>
  <c r="AK236" i="5"/>
  <c r="AK237" i="5"/>
  <c r="AK238" i="5"/>
  <c r="AK239" i="5"/>
  <c r="AK240" i="5"/>
  <c r="AK241" i="5"/>
  <c r="AK242" i="5"/>
  <c r="AK243" i="5"/>
  <c r="AK244" i="5"/>
  <c r="AK245" i="5"/>
  <c r="AK246" i="5"/>
  <c r="AK247" i="5"/>
  <c r="AK248" i="5"/>
  <c r="AK249" i="5"/>
  <c r="AK250" i="5"/>
  <c r="AK251" i="5"/>
  <c r="AK252" i="5"/>
  <c r="AK253" i="5"/>
  <c r="AK254" i="5"/>
  <c r="AK255" i="5"/>
  <c r="AK256" i="5"/>
  <c r="AK257" i="5"/>
  <c r="AK258" i="5"/>
  <c r="AK259" i="5"/>
  <c r="AK260" i="5"/>
  <c r="AK261" i="5"/>
  <c r="AK262" i="5"/>
  <c r="AK263" i="5"/>
  <c r="AK264" i="5"/>
  <c r="AK265" i="5"/>
  <c r="AK266" i="5"/>
  <c r="AK267" i="5"/>
  <c r="AK268" i="5"/>
  <c r="AK269" i="5"/>
  <c r="AK270" i="5"/>
  <c r="AK271" i="5"/>
  <c r="AK272" i="5"/>
  <c r="AK273" i="5"/>
  <c r="AK274" i="5"/>
  <c r="AK275" i="5"/>
  <c r="AK276" i="5"/>
  <c r="AK277" i="5"/>
  <c r="AK278" i="5"/>
  <c r="AK279" i="5"/>
  <c r="AK280" i="5"/>
  <c r="AK281" i="5"/>
  <c r="AK282" i="5"/>
  <c r="AK283" i="5"/>
  <c r="AK284" i="5"/>
  <c r="AK285" i="5"/>
  <c r="AK286" i="5"/>
  <c r="AK287" i="5"/>
  <c r="AK288" i="5"/>
  <c r="AK289" i="5"/>
  <c r="AK290" i="5"/>
  <c r="AK291" i="5"/>
  <c r="AK292" i="5"/>
  <c r="AK293" i="5"/>
  <c r="AK294" i="5"/>
  <c r="AK295" i="5"/>
  <c r="AK296" i="5"/>
  <c r="AK297" i="5"/>
  <c r="AK298" i="5"/>
  <c r="AK299" i="5"/>
  <c r="AK300" i="5"/>
  <c r="AK301" i="5"/>
  <c r="AK302" i="5"/>
  <c r="AK303" i="5"/>
  <c r="AK14" i="5"/>
  <c r="X14" i="5"/>
  <c r="P12" i="2" l="1"/>
  <c r="C10" i="4" s="1"/>
  <c r="C3" i="4"/>
  <c r="C4" i="4"/>
  <c r="C5" i="4"/>
  <c r="C6" i="4"/>
  <c r="C2" i="4"/>
  <c r="D13" i="5" l="1"/>
  <c r="AI15" i="5" l="1"/>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I65" i="5"/>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302" i="5"/>
  <c r="AI303" i="5"/>
  <c r="AI14" i="5"/>
  <c r="AG14" i="5" l="1"/>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G141" i="5"/>
  <c r="AG142" i="5"/>
  <c r="AG143" i="5"/>
  <c r="AG144" i="5"/>
  <c r="AG145" i="5"/>
  <c r="AG146" i="5"/>
  <c r="AG147" i="5"/>
  <c r="AG148" i="5"/>
  <c r="AG149" i="5"/>
  <c r="AG150" i="5"/>
  <c r="AG151" i="5"/>
  <c r="AG152" i="5"/>
  <c r="AG153" i="5"/>
  <c r="AG154" i="5"/>
  <c r="AG155" i="5"/>
  <c r="AG156" i="5"/>
  <c r="AG157" i="5"/>
  <c r="AG158" i="5"/>
  <c r="AG159" i="5"/>
  <c r="AG160" i="5"/>
  <c r="AG161" i="5"/>
  <c r="AG162" i="5"/>
  <c r="AG163" i="5"/>
  <c r="AG164" i="5"/>
  <c r="AG165" i="5"/>
  <c r="AG166" i="5"/>
  <c r="AG167" i="5"/>
  <c r="AG168" i="5"/>
  <c r="AG169" i="5"/>
  <c r="AG170" i="5"/>
  <c r="AG171" i="5"/>
  <c r="AG172" i="5"/>
  <c r="AG173" i="5"/>
  <c r="AG174" i="5"/>
  <c r="AG175" i="5"/>
  <c r="AG176" i="5"/>
  <c r="AG177" i="5"/>
  <c r="AG178" i="5"/>
  <c r="AG179" i="5"/>
  <c r="AG180" i="5"/>
  <c r="AG181" i="5"/>
  <c r="AG182" i="5"/>
  <c r="AG183" i="5"/>
  <c r="AG184" i="5"/>
  <c r="AG185" i="5"/>
  <c r="AG186" i="5"/>
  <c r="AG187" i="5"/>
  <c r="AG188" i="5"/>
  <c r="AG189" i="5"/>
  <c r="AG190" i="5"/>
  <c r="AG191" i="5"/>
  <c r="AG192" i="5"/>
  <c r="AG193" i="5"/>
  <c r="AG194" i="5"/>
  <c r="AG195" i="5"/>
  <c r="AG196" i="5"/>
  <c r="AG197" i="5"/>
  <c r="AG198" i="5"/>
  <c r="AG199" i="5"/>
  <c r="AG200" i="5"/>
  <c r="AG201" i="5"/>
  <c r="AG202" i="5"/>
  <c r="AG203" i="5"/>
  <c r="AG204" i="5"/>
  <c r="AG205" i="5"/>
  <c r="AG206" i="5"/>
  <c r="AG207" i="5"/>
  <c r="AG208" i="5"/>
  <c r="AG209" i="5"/>
  <c r="AG210" i="5"/>
  <c r="AG211" i="5"/>
  <c r="AG212" i="5"/>
  <c r="AG213" i="5"/>
  <c r="AG214" i="5"/>
  <c r="AG215" i="5"/>
  <c r="AG216" i="5"/>
  <c r="AG217" i="5"/>
  <c r="AG218" i="5"/>
  <c r="AG219" i="5"/>
  <c r="AG220" i="5"/>
  <c r="AG221" i="5"/>
  <c r="AG222" i="5"/>
  <c r="AG223" i="5"/>
  <c r="AG224" i="5"/>
  <c r="AG225" i="5"/>
  <c r="AG226" i="5"/>
  <c r="AG227" i="5"/>
  <c r="AG228" i="5"/>
  <c r="AG229" i="5"/>
  <c r="AG230" i="5"/>
  <c r="AG231" i="5"/>
  <c r="AG232" i="5"/>
  <c r="AG233" i="5"/>
  <c r="AG234" i="5"/>
  <c r="AG235" i="5"/>
  <c r="AG236" i="5"/>
  <c r="AG237" i="5"/>
  <c r="AG238" i="5"/>
  <c r="AG239" i="5"/>
  <c r="AG240" i="5"/>
  <c r="AG241" i="5"/>
  <c r="AG242" i="5"/>
  <c r="AG243" i="5"/>
  <c r="AG244" i="5"/>
  <c r="AG245" i="5"/>
  <c r="AG246" i="5"/>
  <c r="AG247" i="5"/>
  <c r="AG248" i="5"/>
  <c r="AG249" i="5"/>
  <c r="AG250" i="5"/>
  <c r="AG251" i="5"/>
  <c r="AG252" i="5"/>
  <c r="AG253" i="5"/>
  <c r="AG254" i="5"/>
  <c r="AG255" i="5"/>
  <c r="AG256" i="5"/>
  <c r="AG257" i="5"/>
  <c r="AG258" i="5"/>
  <c r="AG259" i="5"/>
  <c r="AG260" i="5"/>
  <c r="AG261" i="5"/>
  <c r="AG262" i="5"/>
  <c r="AG263" i="5"/>
  <c r="AG264" i="5"/>
  <c r="AG265" i="5"/>
  <c r="AG266" i="5"/>
  <c r="AG267" i="5"/>
  <c r="AG268" i="5"/>
  <c r="AG269" i="5"/>
  <c r="AG270" i="5"/>
  <c r="AG271" i="5"/>
  <c r="AG272" i="5"/>
  <c r="AG273" i="5"/>
  <c r="AG274" i="5"/>
  <c r="AG275" i="5"/>
  <c r="AG276" i="5"/>
  <c r="AG277" i="5"/>
  <c r="AG278" i="5"/>
  <c r="AG279" i="5"/>
  <c r="AG280" i="5"/>
  <c r="AG281" i="5"/>
  <c r="AG282" i="5"/>
  <c r="AG283" i="5"/>
  <c r="AG284" i="5"/>
  <c r="AG285" i="5"/>
  <c r="AG286" i="5"/>
  <c r="AG287" i="5"/>
  <c r="AG288" i="5"/>
  <c r="AG289" i="5"/>
  <c r="AG290" i="5"/>
  <c r="AG291" i="5"/>
  <c r="AG292" i="5"/>
  <c r="AG293" i="5"/>
  <c r="AG294" i="5"/>
  <c r="AG295" i="5"/>
  <c r="AG296" i="5"/>
  <c r="AG297" i="5"/>
  <c r="AG298" i="5"/>
  <c r="AG299" i="5"/>
  <c r="AG300" i="5"/>
  <c r="AG301" i="5"/>
  <c r="AG302" i="5"/>
  <c r="AG303" i="5"/>
  <c r="AE15" i="5" l="1"/>
  <c r="AF15" i="5"/>
  <c r="AE16" i="5"/>
  <c r="AF16" i="5"/>
  <c r="AE17" i="5"/>
  <c r="AF17" i="5"/>
  <c r="AE18" i="5"/>
  <c r="AF18" i="5"/>
  <c r="AE19" i="5"/>
  <c r="AF19" i="5"/>
  <c r="AE20" i="5"/>
  <c r="AF20" i="5"/>
  <c r="AE21" i="5"/>
  <c r="AF21" i="5"/>
  <c r="AE22" i="5"/>
  <c r="AF22" i="5"/>
  <c r="AE23" i="5"/>
  <c r="AF23" i="5"/>
  <c r="AE24" i="5"/>
  <c r="AF24" i="5"/>
  <c r="AE25" i="5"/>
  <c r="AF25" i="5"/>
  <c r="AE26" i="5"/>
  <c r="AF26" i="5"/>
  <c r="AE27" i="5"/>
  <c r="AF27" i="5"/>
  <c r="AE28" i="5"/>
  <c r="AF28" i="5"/>
  <c r="AE29" i="5"/>
  <c r="AF29" i="5"/>
  <c r="AE30" i="5"/>
  <c r="AF30" i="5"/>
  <c r="AE31" i="5"/>
  <c r="AF31" i="5"/>
  <c r="AE32" i="5"/>
  <c r="AF32" i="5"/>
  <c r="AE33" i="5"/>
  <c r="AF33" i="5"/>
  <c r="AE34" i="5"/>
  <c r="AF34" i="5"/>
  <c r="AE35" i="5"/>
  <c r="AF35" i="5"/>
  <c r="AE36" i="5"/>
  <c r="AF36" i="5"/>
  <c r="AE37" i="5"/>
  <c r="AF37" i="5"/>
  <c r="AE38" i="5"/>
  <c r="AF38" i="5"/>
  <c r="AE39" i="5"/>
  <c r="AF39" i="5"/>
  <c r="AE40" i="5"/>
  <c r="AF40" i="5"/>
  <c r="AE41" i="5"/>
  <c r="AF41" i="5"/>
  <c r="AE42" i="5"/>
  <c r="AF42" i="5"/>
  <c r="AE43" i="5"/>
  <c r="AF43" i="5"/>
  <c r="AE44" i="5"/>
  <c r="AF44" i="5"/>
  <c r="AE45" i="5"/>
  <c r="AF45" i="5"/>
  <c r="AE46" i="5"/>
  <c r="AF46" i="5"/>
  <c r="AE47" i="5"/>
  <c r="AF47" i="5"/>
  <c r="AE48" i="5"/>
  <c r="AF48" i="5"/>
  <c r="AE49" i="5"/>
  <c r="AF49" i="5"/>
  <c r="AE50" i="5"/>
  <c r="AF50" i="5"/>
  <c r="AE51" i="5"/>
  <c r="AF51" i="5"/>
  <c r="AE52" i="5"/>
  <c r="AF52" i="5"/>
  <c r="AE53" i="5"/>
  <c r="AF53" i="5"/>
  <c r="AE54" i="5"/>
  <c r="AF54" i="5"/>
  <c r="AE55" i="5"/>
  <c r="AF55" i="5"/>
  <c r="AE56" i="5"/>
  <c r="AF56" i="5"/>
  <c r="AE57" i="5"/>
  <c r="AF57" i="5"/>
  <c r="AE58" i="5"/>
  <c r="AF58" i="5"/>
  <c r="AE59" i="5"/>
  <c r="AF59" i="5"/>
  <c r="AE60" i="5"/>
  <c r="AF60" i="5"/>
  <c r="AE61" i="5"/>
  <c r="AF61" i="5"/>
  <c r="AE62" i="5"/>
  <c r="AF62" i="5"/>
  <c r="AE63" i="5"/>
  <c r="AF63" i="5"/>
  <c r="AE64" i="5"/>
  <c r="AF64" i="5"/>
  <c r="AE65" i="5"/>
  <c r="AF65" i="5"/>
  <c r="AE66" i="5"/>
  <c r="AF66" i="5"/>
  <c r="AE67" i="5"/>
  <c r="AF67" i="5"/>
  <c r="AE68" i="5"/>
  <c r="AF68" i="5"/>
  <c r="AE69" i="5"/>
  <c r="AF69" i="5"/>
  <c r="AE70" i="5"/>
  <c r="AF70" i="5"/>
  <c r="AE71" i="5"/>
  <c r="AF71" i="5"/>
  <c r="AE72" i="5"/>
  <c r="AF72" i="5"/>
  <c r="AE73" i="5"/>
  <c r="AF73" i="5"/>
  <c r="AE74" i="5"/>
  <c r="AF74" i="5"/>
  <c r="AE75" i="5"/>
  <c r="AF75" i="5"/>
  <c r="AE76" i="5"/>
  <c r="AF76" i="5"/>
  <c r="AE77" i="5"/>
  <c r="AF77" i="5"/>
  <c r="AE78" i="5"/>
  <c r="AF78" i="5"/>
  <c r="AE79" i="5"/>
  <c r="AF79" i="5"/>
  <c r="AE80" i="5"/>
  <c r="AF80" i="5"/>
  <c r="AE81" i="5"/>
  <c r="AF81" i="5"/>
  <c r="AE82" i="5"/>
  <c r="AF82" i="5"/>
  <c r="AE83" i="5"/>
  <c r="AF83" i="5"/>
  <c r="AE84" i="5"/>
  <c r="AF84" i="5"/>
  <c r="AE85" i="5"/>
  <c r="AF85" i="5"/>
  <c r="AE86" i="5"/>
  <c r="AF86" i="5"/>
  <c r="AE87" i="5"/>
  <c r="AF87" i="5"/>
  <c r="AE88" i="5"/>
  <c r="AF88" i="5"/>
  <c r="AE89" i="5"/>
  <c r="AF89" i="5"/>
  <c r="AE90" i="5"/>
  <c r="AF90" i="5"/>
  <c r="AE91" i="5"/>
  <c r="AF91" i="5"/>
  <c r="AE92" i="5"/>
  <c r="AF92" i="5"/>
  <c r="AE93" i="5"/>
  <c r="AF93" i="5"/>
  <c r="AE94" i="5"/>
  <c r="AF94" i="5"/>
  <c r="AE95" i="5"/>
  <c r="AF95" i="5"/>
  <c r="AE96" i="5"/>
  <c r="AF96" i="5"/>
  <c r="AE97" i="5"/>
  <c r="AF97" i="5"/>
  <c r="AE98" i="5"/>
  <c r="AF98" i="5"/>
  <c r="AE99" i="5"/>
  <c r="AF99" i="5"/>
  <c r="AE100" i="5"/>
  <c r="AF100" i="5"/>
  <c r="AE101" i="5"/>
  <c r="AF101" i="5"/>
  <c r="AE102" i="5"/>
  <c r="AF102" i="5"/>
  <c r="AE103" i="5"/>
  <c r="AF103" i="5"/>
  <c r="AE104" i="5"/>
  <c r="AF104" i="5"/>
  <c r="AE105" i="5"/>
  <c r="AF105" i="5"/>
  <c r="AE106" i="5"/>
  <c r="AF106" i="5"/>
  <c r="AE107" i="5"/>
  <c r="AF107" i="5"/>
  <c r="AE108" i="5"/>
  <c r="AF108" i="5"/>
  <c r="AE109" i="5"/>
  <c r="AF109" i="5"/>
  <c r="AE110" i="5"/>
  <c r="AF110" i="5"/>
  <c r="AE111" i="5"/>
  <c r="AF111" i="5"/>
  <c r="AE112" i="5"/>
  <c r="AF112" i="5"/>
  <c r="AE113" i="5"/>
  <c r="AF113" i="5"/>
  <c r="AE114" i="5"/>
  <c r="AF114" i="5"/>
  <c r="AE115" i="5"/>
  <c r="AF115" i="5"/>
  <c r="AE116" i="5"/>
  <c r="AF116" i="5"/>
  <c r="AE117" i="5"/>
  <c r="AF117" i="5"/>
  <c r="AE118" i="5"/>
  <c r="AF118" i="5"/>
  <c r="AE119" i="5"/>
  <c r="AF119" i="5"/>
  <c r="AE120" i="5"/>
  <c r="AF120" i="5"/>
  <c r="AE121" i="5"/>
  <c r="AF121" i="5"/>
  <c r="AE122" i="5"/>
  <c r="AF122" i="5"/>
  <c r="AE123" i="5"/>
  <c r="AF123" i="5"/>
  <c r="AE124" i="5"/>
  <c r="AF124" i="5"/>
  <c r="AE125" i="5"/>
  <c r="AF125" i="5"/>
  <c r="AE126" i="5"/>
  <c r="AF126" i="5"/>
  <c r="AE127" i="5"/>
  <c r="AF127" i="5"/>
  <c r="AE128" i="5"/>
  <c r="AF128" i="5"/>
  <c r="AE129" i="5"/>
  <c r="AF129" i="5"/>
  <c r="AE130" i="5"/>
  <c r="AF130" i="5"/>
  <c r="AE131" i="5"/>
  <c r="AF131" i="5"/>
  <c r="AE132" i="5"/>
  <c r="AF132" i="5"/>
  <c r="AE133" i="5"/>
  <c r="AF133" i="5"/>
  <c r="AE134" i="5"/>
  <c r="AF134" i="5"/>
  <c r="AE135" i="5"/>
  <c r="AF135" i="5"/>
  <c r="AE136" i="5"/>
  <c r="AF136" i="5"/>
  <c r="AE137" i="5"/>
  <c r="AF137" i="5"/>
  <c r="AE138" i="5"/>
  <c r="AF138" i="5"/>
  <c r="AE139" i="5"/>
  <c r="AF139" i="5"/>
  <c r="AE140" i="5"/>
  <c r="AF140" i="5"/>
  <c r="AE141" i="5"/>
  <c r="AF141" i="5"/>
  <c r="AE142" i="5"/>
  <c r="AF142" i="5"/>
  <c r="AE143" i="5"/>
  <c r="AF143" i="5"/>
  <c r="AE144" i="5"/>
  <c r="AF144" i="5"/>
  <c r="AE145" i="5"/>
  <c r="AF145" i="5"/>
  <c r="AE146" i="5"/>
  <c r="AF146" i="5"/>
  <c r="AE147" i="5"/>
  <c r="AF147" i="5"/>
  <c r="AE148" i="5"/>
  <c r="AF148" i="5"/>
  <c r="AE149" i="5"/>
  <c r="AF149" i="5"/>
  <c r="AE150" i="5"/>
  <c r="AF150" i="5"/>
  <c r="AE151" i="5"/>
  <c r="AF151" i="5"/>
  <c r="AE152" i="5"/>
  <c r="AF152" i="5"/>
  <c r="AE153" i="5"/>
  <c r="AF153" i="5"/>
  <c r="AE154" i="5"/>
  <c r="AF154" i="5"/>
  <c r="AE155" i="5"/>
  <c r="AF155" i="5"/>
  <c r="AE156" i="5"/>
  <c r="AF156" i="5"/>
  <c r="AE157" i="5"/>
  <c r="AF157" i="5"/>
  <c r="AE158" i="5"/>
  <c r="AF158" i="5"/>
  <c r="AE159" i="5"/>
  <c r="AF159" i="5"/>
  <c r="AE160" i="5"/>
  <c r="AF160" i="5"/>
  <c r="AE161" i="5"/>
  <c r="AF161" i="5"/>
  <c r="AE162" i="5"/>
  <c r="AF162" i="5"/>
  <c r="AE163" i="5"/>
  <c r="AF163" i="5"/>
  <c r="AE164" i="5"/>
  <c r="AF164" i="5"/>
  <c r="AE165" i="5"/>
  <c r="AF165" i="5"/>
  <c r="AE166" i="5"/>
  <c r="AF166" i="5"/>
  <c r="AE167" i="5"/>
  <c r="AF167" i="5"/>
  <c r="AE168" i="5"/>
  <c r="AF168" i="5"/>
  <c r="AE169" i="5"/>
  <c r="AF169" i="5"/>
  <c r="AE170" i="5"/>
  <c r="AF170" i="5"/>
  <c r="AE171" i="5"/>
  <c r="AF171" i="5"/>
  <c r="AE172" i="5"/>
  <c r="AF172" i="5"/>
  <c r="AE173" i="5"/>
  <c r="AF173" i="5"/>
  <c r="AE174" i="5"/>
  <c r="AF174" i="5"/>
  <c r="AE175" i="5"/>
  <c r="AF175" i="5"/>
  <c r="AE176" i="5"/>
  <c r="AF176" i="5"/>
  <c r="AE177" i="5"/>
  <c r="AF177" i="5"/>
  <c r="AE178" i="5"/>
  <c r="AF178" i="5"/>
  <c r="AE179" i="5"/>
  <c r="AF179" i="5"/>
  <c r="AE180" i="5"/>
  <c r="AF180" i="5"/>
  <c r="AE181" i="5"/>
  <c r="AF181" i="5"/>
  <c r="AE182" i="5"/>
  <c r="AF182" i="5"/>
  <c r="AE183" i="5"/>
  <c r="AF183" i="5"/>
  <c r="AE184" i="5"/>
  <c r="AF184" i="5"/>
  <c r="AE185" i="5"/>
  <c r="AF185" i="5"/>
  <c r="AE186" i="5"/>
  <c r="AF186" i="5"/>
  <c r="AE187" i="5"/>
  <c r="AF187" i="5"/>
  <c r="AE188" i="5"/>
  <c r="AF188" i="5"/>
  <c r="AE189" i="5"/>
  <c r="AF189" i="5"/>
  <c r="AE190" i="5"/>
  <c r="AF190" i="5"/>
  <c r="AE191" i="5"/>
  <c r="AF191" i="5"/>
  <c r="AE192" i="5"/>
  <c r="AF192" i="5"/>
  <c r="AE193" i="5"/>
  <c r="AF193" i="5"/>
  <c r="AE194" i="5"/>
  <c r="AF194" i="5"/>
  <c r="AE195" i="5"/>
  <c r="AF195" i="5"/>
  <c r="AE196" i="5"/>
  <c r="AF196" i="5"/>
  <c r="AE197" i="5"/>
  <c r="AF197" i="5"/>
  <c r="AE198" i="5"/>
  <c r="AF198" i="5"/>
  <c r="AE199" i="5"/>
  <c r="AF199" i="5"/>
  <c r="AE200" i="5"/>
  <c r="AF200" i="5"/>
  <c r="AE201" i="5"/>
  <c r="AF201" i="5"/>
  <c r="AE202" i="5"/>
  <c r="AF202" i="5"/>
  <c r="AE203" i="5"/>
  <c r="AF203" i="5"/>
  <c r="AE204" i="5"/>
  <c r="AF204" i="5"/>
  <c r="AE205" i="5"/>
  <c r="AF205" i="5"/>
  <c r="AE206" i="5"/>
  <c r="AF206" i="5"/>
  <c r="AE207" i="5"/>
  <c r="AF207" i="5"/>
  <c r="AE208" i="5"/>
  <c r="AF208" i="5"/>
  <c r="AE209" i="5"/>
  <c r="AF209" i="5"/>
  <c r="AE210" i="5"/>
  <c r="AF210" i="5"/>
  <c r="AE211" i="5"/>
  <c r="AF211" i="5"/>
  <c r="AE212" i="5"/>
  <c r="AF212" i="5"/>
  <c r="AE213" i="5"/>
  <c r="AF213" i="5"/>
  <c r="AE214" i="5"/>
  <c r="AF214" i="5"/>
  <c r="AE215" i="5"/>
  <c r="AF215" i="5"/>
  <c r="AE216" i="5"/>
  <c r="AF216" i="5"/>
  <c r="AE217" i="5"/>
  <c r="AF217" i="5"/>
  <c r="AE218" i="5"/>
  <c r="AF218" i="5"/>
  <c r="AE219" i="5"/>
  <c r="AF219" i="5"/>
  <c r="AE220" i="5"/>
  <c r="AF220" i="5"/>
  <c r="AE221" i="5"/>
  <c r="AF221" i="5"/>
  <c r="AE222" i="5"/>
  <c r="AF222" i="5"/>
  <c r="AE223" i="5"/>
  <c r="AF223" i="5"/>
  <c r="AE224" i="5"/>
  <c r="AF224" i="5"/>
  <c r="AE225" i="5"/>
  <c r="AF225" i="5"/>
  <c r="AE226" i="5"/>
  <c r="AF226" i="5"/>
  <c r="AE227" i="5"/>
  <c r="AF227" i="5"/>
  <c r="AE228" i="5"/>
  <c r="AF228" i="5"/>
  <c r="AE229" i="5"/>
  <c r="AF229" i="5"/>
  <c r="AE230" i="5"/>
  <c r="AF230" i="5"/>
  <c r="AE231" i="5"/>
  <c r="AF231" i="5"/>
  <c r="AE232" i="5"/>
  <c r="AF232" i="5"/>
  <c r="AE233" i="5"/>
  <c r="AF233" i="5"/>
  <c r="AE234" i="5"/>
  <c r="AF234" i="5"/>
  <c r="AE235" i="5"/>
  <c r="AF235" i="5"/>
  <c r="AE236" i="5"/>
  <c r="AF236" i="5"/>
  <c r="AE237" i="5"/>
  <c r="AF237" i="5"/>
  <c r="AE238" i="5"/>
  <c r="AF238" i="5"/>
  <c r="AE239" i="5"/>
  <c r="AF239" i="5"/>
  <c r="AE240" i="5"/>
  <c r="AF240" i="5"/>
  <c r="AE241" i="5"/>
  <c r="AF241" i="5"/>
  <c r="AE242" i="5"/>
  <c r="AF242" i="5"/>
  <c r="AE243" i="5"/>
  <c r="AF243" i="5"/>
  <c r="AE244" i="5"/>
  <c r="AF244" i="5"/>
  <c r="AE245" i="5"/>
  <c r="AF245" i="5"/>
  <c r="AE246" i="5"/>
  <c r="AF246" i="5"/>
  <c r="AE247" i="5"/>
  <c r="AF247" i="5"/>
  <c r="AE248" i="5"/>
  <c r="AF248" i="5"/>
  <c r="AE249" i="5"/>
  <c r="AF249" i="5"/>
  <c r="AE250" i="5"/>
  <c r="AF250" i="5"/>
  <c r="AE251" i="5"/>
  <c r="AF251" i="5"/>
  <c r="AE252" i="5"/>
  <c r="AF252" i="5"/>
  <c r="AE253" i="5"/>
  <c r="AF253" i="5"/>
  <c r="AE254" i="5"/>
  <c r="AF254" i="5"/>
  <c r="AE255" i="5"/>
  <c r="AF255" i="5"/>
  <c r="AE256" i="5"/>
  <c r="AF256" i="5"/>
  <c r="AE257" i="5"/>
  <c r="AF257" i="5"/>
  <c r="AE258" i="5"/>
  <c r="AF258" i="5"/>
  <c r="AE259" i="5"/>
  <c r="AF259" i="5"/>
  <c r="AE260" i="5"/>
  <c r="AF260" i="5"/>
  <c r="AE261" i="5"/>
  <c r="AF261" i="5"/>
  <c r="AE262" i="5"/>
  <c r="AF262" i="5"/>
  <c r="AE263" i="5"/>
  <c r="AF263" i="5"/>
  <c r="AE264" i="5"/>
  <c r="AF264" i="5"/>
  <c r="AE265" i="5"/>
  <c r="AF265" i="5"/>
  <c r="AE266" i="5"/>
  <c r="AF266" i="5"/>
  <c r="AE267" i="5"/>
  <c r="AF267" i="5"/>
  <c r="AE268" i="5"/>
  <c r="AF268" i="5"/>
  <c r="AE269" i="5"/>
  <c r="AF269" i="5"/>
  <c r="AE270" i="5"/>
  <c r="AF270" i="5"/>
  <c r="AE271" i="5"/>
  <c r="AF271" i="5"/>
  <c r="AE272" i="5"/>
  <c r="AF272" i="5"/>
  <c r="AE273" i="5"/>
  <c r="AF273" i="5"/>
  <c r="AE274" i="5"/>
  <c r="AF274" i="5"/>
  <c r="AE275" i="5"/>
  <c r="AF275" i="5"/>
  <c r="AE276" i="5"/>
  <c r="AF276" i="5"/>
  <c r="AE277" i="5"/>
  <c r="AF277" i="5"/>
  <c r="AE278" i="5"/>
  <c r="AF278" i="5"/>
  <c r="AE279" i="5"/>
  <c r="AF279" i="5"/>
  <c r="AE280" i="5"/>
  <c r="AF280" i="5"/>
  <c r="AE281" i="5"/>
  <c r="AF281" i="5"/>
  <c r="AE282" i="5"/>
  <c r="AF282" i="5"/>
  <c r="AE283" i="5"/>
  <c r="AF283" i="5"/>
  <c r="AE284" i="5"/>
  <c r="AF284" i="5"/>
  <c r="AE285" i="5"/>
  <c r="AF285" i="5"/>
  <c r="AE286" i="5"/>
  <c r="AF286" i="5"/>
  <c r="AE287" i="5"/>
  <c r="AF287" i="5"/>
  <c r="AE288" i="5"/>
  <c r="AF288" i="5"/>
  <c r="AE289" i="5"/>
  <c r="AF289" i="5"/>
  <c r="AE290" i="5"/>
  <c r="AF290" i="5"/>
  <c r="AE291" i="5"/>
  <c r="AF291" i="5"/>
  <c r="AE292" i="5"/>
  <c r="AF292" i="5"/>
  <c r="AE293" i="5"/>
  <c r="AF293" i="5"/>
  <c r="AE294" i="5"/>
  <c r="AF294" i="5"/>
  <c r="AE295" i="5"/>
  <c r="AF295" i="5"/>
  <c r="AE296" i="5"/>
  <c r="AF296" i="5"/>
  <c r="AE297" i="5"/>
  <c r="AF297" i="5"/>
  <c r="AE298" i="5"/>
  <c r="AF298" i="5"/>
  <c r="AE299" i="5"/>
  <c r="AF299" i="5"/>
  <c r="AE300" i="5"/>
  <c r="AF300" i="5"/>
  <c r="AE301" i="5"/>
  <c r="AF301" i="5"/>
  <c r="AE302" i="5"/>
  <c r="AF302" i="5"/>
  <c r="AE303" i="5"/>
  <c r="AF303" i="5"/>
  <c r="X15" i="5" l="1"/>
  <c r="Y15" i="5"/>
  <c r="X16" i="5"/>
  <c r="Y16" i="5"/>
  <c r="X17" i="5"/>
  <c r="Y17" i="5"/>
  <c r="X18" i="5"/>
  <c r="Y18" i="5"/>
  <c r="X19" i="5"/>
  <c r="Y19" i="5"/>
  <c r="X20" i="5"/>
  <c r="Y20" i="5"/>
  <c r="X21" i="5"/>
  <c r="Y21" i="5"/>
  <c r="X22" i="5"/>
  <c r="Y22" i="5"/>
  <c r="X23" i="5"/>
  <c r="Y23" i="5"/>
  <c r="X24" i="5"/>
  <c r="Y24" i="5"/>
  <c r="X25" i="5"/>
  <c r="Y25" i="5"/>
  <c r="X26" i="5"/>
  <c r="Y26" i="5"/>
  <c r="X27" i="5"/>
  <c r="Y27" i="5"/>
  <c r="X28" i="5"/>
  <c r="Y28" i="5"/>
  <c r="X29" i="5"/>
  <c r="Y29" i="5"/>
  <c r="X30" i="5"/>
  <c r="Y30" i="5"/>
  <c r="X31" i="5"/>
  <c r="Y31" i="5"/>
  <c r="X32" i="5"/>
  <c r="Y32" i="5"/>
  <c r="X33" i="5"/>
  <c r="Y33" i="5"/>
  <c r="X34" i="5"/>
  <c r="Y34" i="5"/>
  <c r="X35" i="5"/>
  <c r="Y35" i="5"/>
  <c r="X36" i="5"/>
  <c r="Y36" i="5"/>
  <c r="X37" i="5"/>
  <c r="Y37" i="5"/>
  <c r="X38" i="5"/>
  <c r="Y38" i="5"/>
  <c r="X39" i="5"/>
  <c r="Y39" i="5"/>
  <c r="X40" i="5"/>
  <c r="Y40" i="5"/>
  <c r="X41" i="5"/>
  <c r="Y41" i="5"/>
  <c r="X42" i="5"/>
  <c r="Y42" i="5"/>
  <c r="X43" i="5"/>
  <c r="Y43" i="5"/>
  <c r="X44" i="5"/>
  <c r="Y44" i="5"/>
  <c r="X45" i="5"/>
  <c r="Y45" i="5"/>
  <c r="X46" i="5"/>
  <c r="Y46" i="5"/>
  <c r="X47" i="5"/>
  <c r="Y47" i="5"/>
  <c r="X48" i="5"/>
  <c r="Y48" i="5"/>
  <c r="X49" i="5"/>
  <c r="Y49" i="5"/>
  <c r="X50" i="5"/>
  <c r="Y50" i="5"/>
  <c r="X51" i="5"/>
  <c r="Y51" i="5"/>
  <c r="X52" i="5"/>
  <c r="Y52" i="5"/>
  <c r="X53" i="5"/>
  <c r="Y53" i="5"/>
  <c r="X54" i="5"/>
  <c r="Y54" i="5"/>
  <c r="X55" i="5"/>
  <c r="Y55" i="5"/>
  <c r="X56" i="5"/>
  <c r="Y56" i="5"/>
  <c r="X57" i="5"/>
  <c r="Y57" i="5"/>
  <c r="X58" i="5"/>
  <c r="Y58" i="5"/>
  <c r="X59" i="5"/>
  <c r="Y59" i="5"/>
  <c r="X60" i="5"/>
  <c r="Y60" i="5"/>
  <c r="X61" i="5"/>
  <c r="Y61" i="5"/>
  <c r="X62" i="5"/>
  <c r="Y62" i="5"/>
  <c r="X63" i="5"/>
  <c r="Y63" i="5"/>
  <c r="X64" i="5"/>
  <c r="Y64" i="5"/>
  <c r="X65" i="5"/>
  <c r="Y65" i="5"/>
  <c r="X66" i="5"/>
  <c r="Y66" i="5"/>
  <c r="X67" i="5"/>
  <c r="Y67" i="5"/>
  <c r="X68" i="5"/>
  <c r="Y68" i="5"/>
  <c r="X69" i="5"/>
  <c r="Y69" i="5"/>
  <c r="X70" i="5"/>
  <c r="Y70" i="5"/>
  <c r="X71" i="5"/>
  <c r="Y71" i="5"/>
  <c r="X72" i="5"/>
  <c r="Y72" i="5"/>
  <c r="X73" i="5"/>
  <c r="Y73" i="5"/>
  <c r="X74" i="5"/>
  <c r="Y74" i="5"/>
  <c r="X75" i="5"/>
  <c r="Y75" i="5"/>
  <c r="X76" i="5"/>
  <c r="Y76" i="5"/>
  <c r="X77" i="5"/>
  <c r="Y77" i="5"/>
  <c r="X78" i="5"/>
  <c r="Y78" i="5"/>
  <c r="X79" i="5"/>
  <c r="Y79" i="5"/>
  <c r="X80" i="5"/>
  <c r="Y80" i="5"/>
  <c r="X81" i="5"/>
  <c r="Y81" i="5"/>
  <c r="X82" i="5"/>
  <c r="Y82" i="5"/>
  <c r="X83" i="5"/>
  <c r="Y83" i="5"/>
  <c r="X84" i="5"/>
  <c r="Y84" i="5"/>
  <c r="X85" i="5"/>
  <c r="Y85" i="5"/>
  <c r="X86" i="5"/>
  <c r="Y86" i="5"/>
  <c r="X87" i="5"/>
  <c r="Y87" i="5"/>
  <c r="X88" i="5"/>
  <c r="Y88" i="5"/>
  <c r="X89" i="5"/>
  <c r="Y89" i="5"/>
  <c r="X90" i="5"/>
  <c r="Y90" i="5"/>
  <c r="X91" i="5"/>
  <c r="Y91" i="5"/>
  <c r="X92" i="5"/>
  <c r="Y92" i="5"/>
  <c r="X93" i="5"/>
  <c r="Y93" i="5"/>
  <c r="X94" i="5"/>
  <c r="Y94" i="5"/>
  <c r="X95" i="5"/>
  <c r="Y95" i="5"/>
  <c r="X96" i="5"/>
  <c r="Y96" i="5"/>
  <c r="X97" i="5"/>
  <c r="Y97" i="5"/>
  <c r="X98" i="5"/>
  <c r="Y98" i="5"/>
  <c r="X99" i="5"/>
  <c r="Y99" i="5"/>
  <c r="X100" i="5"/>
  <c r="Y100" i="5"/>
  <c r="X101" i="5"/>
  <c r="Y101" i="5"/>
  <c r="X102" i="5"/>
  <c r="Y102" i="5"/>
  <c r="X103" i="5"/>
  <c r="Y103" i="5"/>
  <c r="X104" i="5"/>
  <c r="Y104" i="5"/>
  <c r="X105" i="5"/>
  <c r="Y105" i="5"/>
  <c r="X106" i="5"/>
  <c r="Y106" i="5"/>
  <c r="X107" i="5"/>
  <c r="Y107" i="5"/>
  <c r="X108" i="5"/>
  <c r="Y108" i="5"/>
  <c r="X109" i="5"/>
  <c r="Y109" i="5"/>
  <c r="X110" i="5"/>
  <c r="Y110" i="5"/>
  <c r="X111" i="5"/>
  <c r="Y111" i="5"/>
  <c r="X112" i="5"/>
  <c r="Y112" i="5"/>
  <c r="X113" i="5"/>
  <c r="Y113" i="5"/>
  <c r="X114" i="5"/>
  <c r="Y114" i="5"/>
  <c r="X115" i="5"/>
  <c r="Y115" i="5"/>
  <c r="X116" i="5"/>
  <c r="Y116" i="5"/>
  <c r="X117" i="5"/>
  <c r="Y117" i="5"/>
  <c r="X118" i="5"/>
  <c r="Y118" i="5"/>
  <c r="X119" i="5"/>
  <c r="Y119" i="5"/>
  <c r="X120" i="5"/>
  <c r="Y120" i="5"/>
  <c r="X121" i="5"/>
  <c r="Y121" i="5"/>
  <c r="X122" i="5"/>
  <c r="Y122" i="5"/>
  <c r="X123" i="5"/>
  <c r="Y123" i="5"/>
  <c r="X124" i="5"/>
  <c r="Y124" i="5"/>
  <c r="X125" i="5"/>
  <c r="Y125" i="5"/>
  <c r="X126" i="5"/>
  <c r="Y126" i="5"/>
  <c r="X127" i="5"/>
  <c r="Y127" i="5"/>
  <c r="X128" i="5"/>
  <c r="Y128" i="5"/>
  <c r="X129" i="5"/>
  <c r="Y129" i="5"/>
  <c r="X130" i="5"/>
  <c r="Y130" i="5"/>
  <c r="X131" i="5"/>
  <c r="Y131" i="5"/>
  <c r="X132" i="5"/>
  <c r="Y132" i="5"/>
  <c r="X133" i="5"/>
  <c r="Y133" i="5"/>
  <c r="X134" i="5"/>
  <c r="Y134" i="5"/>
  <c r="X135" i="5"/>
  <c r="Y135" i="5"/>
  <c r="X136" i="5"/>
  <c r="Y136" i="5"/>
  <c r="X137" i="5"/>
  <c r="Y137" i="5"/>
  <c r="X138" i="5"/>
  <c r="Y138" i="5"/>
  <c r="X139" i="5"/>
  <c r="Y139" i="5"/>
  <c r="X140" i="5"/>
  <c r="Y140" i="5"/>
  <c r="X141" i="5"/>
  <c r="Y141" i="5"/>
  <c r="X142" i="5"/>
  <c r="Y142" i="5"/>
  <c r="X143" i="5"/>
  <c r="Y143" i="5"/>
  <c r="X144" i="5"/>
  <c r="Y144" i="5"/>
  <c r="X145" i="5"/>
  <c r="Y145" i="5"/>
  <c r="X146" i="5"/>
  <c r="Y146" i="5"/>
  <c r="X147" i="5"/>
  <c r="Y147" i="5"/>
  <c r="X148" i="5"/>
  <c r="Y148" i="5"/>
  <c r="X149" i="5"/>
  <c r="Y149" i="5"/>
  <c r="X150" i="5"/>
  <c r="Y150" i="5"/>
  <c r="X151" i="5"/>
  <c r="Y151" i="5"/>
  <c r="X152" i="5"/>
  <c r="Y152" i="5"/>
  <c r="X153" i="5"/>
  <c r="Y153" i="5"/>
  <c r="X154" i="5"/>
  <c r="Y154" i="5"/>
  <c r="X155" i="5"/>
  <c r="Y155" i="5"/>
  <c r="X156" i="5"/>
  <c r="Y156" i="5"/>
  <c r="X157" i="5"/>
  <c r="Y157" i="5"/>
  <c r="X158" i="5"/>
  <c r="Y158" i="5"/>
  <c r="X159" i="5"/>
  <c r="Y159" i="5"/>
  <c r="X160" i="5"/>
  <c r="Y160" i="5"/>
  <c r="X161" i="5"/>
  <c r="Y161" i="5"/>
  <c r="X162" i="5"/>
  <c r="Y162" i="5"/>
  <c r="X163" i="5"/>
  <c r="Y163" i="5"/>
  <c r="X164" i="5"/>
  <c r="Y164" i="5"/>
  <c r="X165" i="5"/>
  <c r="Y165" i="5"/>
  <c r="X166" i="5"/>
  <c r="Y166" i="5"/>
  <c r="X167" i="5"/>
  <c r="Y167" i="5"/>
  <c r="X168" i="5"/>
  <c r="Y168" i="5"/>
  <c r="X169" i="5"/>
  <c r="Y169" i="5"/>
  <c r="X170" i="5"/>
  <c r="Y170" i="5"/>
  <c r="X171" i="5"/>
  <c r="Y171" i="5"/>
  <c r="X172" i="5"/>
  <c r="Y172" i="5"/>
  <c r="X173" i="5"/>
  <c r="Y173" i="5"/>
  <c r="X174" i="5"/>
  <c r="Y174" i="5"/>
  <c r="X175" i="5"/>
  <c r="Y175" i="5"/>
  <c r="X176" i="5"/>
  <c r="Y176" i="5"/>
  <c r="X177" i="5"/>
  <c r="Y177" i="5"/>
  <c r="X178" i="5"/>
  <c r="Y178" i="5"/>
  <c r="X179" i="5"/>
  <c r="Y179" i="5"/>
  <c r="X180" i="5"/>
  <c r="Y180" i="5"/>
  <c r="X181" i="5"/>
  <c r="Y181" i="5"/>
  <c r="X182" i="5"/>
  <c r="Y182" i="5"/>
  <c r="X183" i="5"/>
  <c r="Y183" i="5"/>
  <c r="X184" i="5"/>
  <c r="Y184" i="5"/>
  <c r="X185" i="5"/>
  <c r="Y185" i="5"/>
  <c r="X186" i="5"/>
  <c r="Y186" i="5"/>
  <c r="X187" i="5"/>
  <c r="Y187" i="5"/>
  <c r="X188" i="5"/>
  <c r="Y188" i="5"/>
  <c r="X189" i="5"/>
  <c r="Y189" i="5"/>
  <c r="X190" i="5"/>
  <c r="Y190" i="5"/>
  <c r="X191" i="5"/>
  <c r="Y191" i="5"/>
  <c r="X192" i="5"/>
  <c r="Y192" i="5"/>
  <c r="X193" i="5"/>
  <c r="Y193" i="5"/>
  <c r="X194" i="5"/>
  <c r="Y194" i="5"/>
  <c r="X195" i="5"/>
  <c r="Y195" i="5"/>
  <c r="X196" i="5"/>
  <c r="Y196" i="5"/>
  <c r="X197" i="5"/>
  <c r="Y197" i="5"/>
  <c r="X198" i="5"/>
  <c r="Y198" i="5"/>
  <c r="X199" i="5"/>
  <c r="Y199" i="5"/>
  <c r="X200" i="5"/>
  <c r="Y200" i="5"/>
  <c r="X201" i="5"/>
  <c r="Y201" i="5"/>
  <c r="X202" i="5"/>
  <c r="Y202" i="5"/>
  <c r="X203" i="5"/>
  <c r="Y203" i="5"/>
  <c r="X204" i="5"/>
  <c r="Y204" i="5"/>
  <c r="X205" i="5"/>
  <c r="Y205" i="5"/>
  <c r="X206" i="5"/>
  <c r="Y206" i="5"/>
  <c r="X207" i="5"/>
  <c r="Y207" i="5"/>
  <c r="X208" i="5"/>
  <c r="Y208" i="5"/>
  <c r="X209" i="5"/>
  <c r="Y209" i="5"/>
  <c r="X210" i="5"/>
  <c r="Y210" i="5"/>
  <c r="X211" i="5"/>
  <c r="Y211" i="5"/>
  <c r="X212" i="5"/>
  <c r="Y212" i="5"/>
  <c r="X213" i="5"/>
  <c r="Y213" i="5"/>
  <c r="X214" i="5"/>
  <c r="Y214" i="5"/>
  <c r="X215" i="5"/>
  <c r="Y215" i="5"/>
  <c r="X216" i="5"/>
  <c r="Y216" i="5"/>
  <c r="X217" i="5"/>
  <c r="Y217" i="5"/>
  <c r="X218" i="5"/>
  <c r="Y218" i="5"/>
  <c r="X219" i="5"/>
  <c r="Y219" i="5"/>
  <c r="X220" i="5"/>
  <c r="Y220" i="5"/>
  <c r="X221" i="5"/>
  <c r="Y221" i="5"/>
  <c r="X222" i="5"/>
  <c r="Y222" i="5"/>
  <c r="X223" i="5"/>
  <c r="Y223" i="5"/>
  <c r="X224" i="5"/>
  <c r="Y224" i="5"/>
  <c r="X225" i="5"/>
  <c r="Y225" i="5"/>
  <c r="X226" i="5"/>
  <c r="Y226" i="5"/>
  <c r="X227" i="5"/>
  <c r="Y227" i="5"/>
  <c r="X228" i="5"/>
  <c r="Y228" i="5"/>
  <c r="X229" i="5"/>
  <c r="Y229" i="5"/>
  <c r="X230" i="5"/>
  <c r="Y230" i="5"/>
  <c r="X231" i="5"/>
  <c r="Y231" i="5"/>
  <c r="X232" i="5"/>
  <c r="Y232" i="5"/>
  <c r="X233" i="5"/>
  <c r="Y233" i="5"/>
  <c r="X234" i="5"/>
  <c r="Y234" i="5"/>
  <c r="X235" i="5"/>
  <c r="Y235" i="5"/>
  <c r="X236" i="5"/>
  <c r="Y236" i="5"/>
  <c r="X237" i="5"/>
  <c r="Y237" i="5"/>
  <c r="X238" i="5"/>
  <c r="Y238" i="5"/>
  <c r="X239" i="5"/>
  <c r="Y239" i="5"/>
  <c r="X240" i="5"/>
  <c r="Y240" i="5"/>
  <c r="X241" i="5"/>
  <c r="Y241" i="5"/>
  <c r="X242" i="5"/>
  <c r="Y242" i="5"/>
  <c r="X243" i="5"/>
  <c r="Y243" i="5"/>
  <c r="X244" i="5"/>
  <c r="Y244" i="5"/>
  <c r="X245" i="5"/>
  <c r="Y245" i="5"/>
  <c r="X246" i="5"/>
  <c r="Y246" i="5"/>
  <c r="X247" i="5"/>
  <c r="Y247" i="5"/>
  <c r="X248" i="5"/>
  <c r="Y248" i="5"/>
  <c r="X249" i="5"/>
  <c r="Y249" i="5"/>
  <c r="X250" i="5"/>
  <c r="Y250" i="5"/>
  <c r="X251" i="5"/>
  <c r="Y251" i="5"/>
  <c r="X252" i="5"/>
  <c r="Y252" i="5"/>
  <c r="X253" i="5"/>
  <c r="Y253" i="5"/>
  <c r="X254" i="5"/>
  <c r="Y254" i="5"/>
  <c r="X255" i="5"/>
  <c r="Y255" i="5"/>
  <c r="X256" i="5"/>
  <c r="Y256" i="5"/>
  <c r="X257" i="5"/>
  <c r="Y257" i="5"/>
  <c r="X258" i="5"/>
  <c r="Y258" i="5"/>
  <c r="X259" i="5"/>
  <c r="Y259" i="5"/>
  <c r="X260" i="5"/>
  <c r="Y260" i="5"/>
  <c r="X261" i="5"/>
  <c r="Y261" i="5"/>
  <c r="X262" i="5"/>
  <c r="Y262" i="5"/>
  <c r="X263" i="5"/>
  <c r="Y263" i="5"/>
  <c r="X264" i="5"/>
  <c r="Y264" i="5"/>
  <c r="X265" i="5"/>
  <c r="Y265" i="5"/>
  <c r="X266" i="5"/>
  <c r="Y266" i="5"/>
  <c r="X267" i="5"/>
  <c r="Y267" i="5"/>
  <c r="X268" i="5"/>
  <c r="Y268" i="5"/>
  <c r="X269" i="5"/>
  <c r="Y269" i="5"/>
  <c r="X270" i="5"/>
  <c r="Y270" i="5"/>
  <c r="X271" i="5"/>
  <c r="Y271" i="5"/>
  <c r="X272" i="5"/>
  <c r="Y272" i="5"/>
  <c r="X273" i="5"/>
  <c r="Y273" i="5"/>
  <c r="X274" i="5"/>
  <c r="Y274" i="5"/>
  <c r="X275" i="5"/>
  <c r="Y275" i="5"/>
  <c r="X276" i="5"/>
  <c r="Y276" i="5"/>
  <c r="X277" i="5"/>
  <c r="Y277" i="5"/>
  <c r="X278" i="5"/>
  <c r="Y278" i="5"/>
  <c r="X279" i="5"/>
  <c r="Y279" i="5"/>
  <c r="X280" i="5"/>
  <c r="Y280" i="5"/>
  <c r="X281" i="5"/>
  <c r="Y281" i="5"/>
  <c r="X282" i="5"/>
  <c r="Y282" i="5"/>
  <c r="X283" i="5"/>
  <c r="Y283" i="5"/>
  <c r="X284" i="5"/>
  <c r="Y284" i="5"/>
  <c r="X285" i="5"/>
  <c r="Y285" i="5"/>
  <c r="X286" i="5"/>
  <c r="Y286" i="5"/>
  <c r="X287" i="5"/>
  <c r="Y287" i="5"/>
  <c r="X288" i="5"/>
  <c r="Y288" i="5"/>
  <c r="X289" i="5"/>
  <c r="Y289" i="5"/>
  <c r="X290" i="5"/>
  <c r="Y290" i="5"/>
  <c r="X291" i="5"/>
  <c r="Y291" i="5"/>
  <c r="X292" i="5"/>
  <c r="Y292" i="5"/>
  <c r="X293" i="5"/>
  <c r="Y293" i="5"/>
  <c r="X294" i="5"/>
  <c r="Y294" i="5"/>
  <c r="X295" i="5"/>
  <c r="Y295" i="5"/>
  <c r="X296" i="5"/>
  <c r="Y296" i="5"/>
  <c r="X297" i="5"/>
  <c r="Y297" i="5"/>
  <c r="X298" i="5"/>
  <c r="Y298" i="5"/>
  <c r="X299" i="5"/>
  <c r="Y299" i="5"/>
  <c r="X300" i="5"/>
  <c r="Y300" i="5"/>
  <c r="X301" i="5"/>
  <c r="Y301" i="5"/>
  <c r="X302" i="5"/>
  <c r="Y302" i="5"/>
  <c r="X303" i="5"/>
  <c r="Y303" i="5"/>
  <c r="Y14" i="5"/>
  <c r="X2" i="5"/>
  <c r="N2" i="5"/>
  <c r="AF14" i="5"/>
  <c r="AE14" i="5"/>
  <c r="L13" i="5"/>
  <c r="M13" i="5"/>
  <c r="N13" i="5"/>
  <c r="O13" i="5"/>
  <c r="Q13" i="5"/>
  <c r="R13" i="5"/>
  <c r="S13" i="5"/>
  <c r="T13" i="5"/>
  <c r="AH15" i="5"/>
  <c r="AH16" i="5"/>
  <c r="P17" i="5"/>
  <c r="P18" i="5"/>
  <c r="U18" i="5" s="1"/>
  <c r="P19" i="5"/>
  <c r="U19" i="5" s="1"/>
  <c r="P20" i="5"/>
  <c r="P21" i="5"/>
  <c r="P22" i="5"/>
  <c r="P23" i="5"/>
  <c r="P24" i="5"/>
  <c r="AH24" i="5" s="1"/>
  <c r="P25" i="5"/>
  <c r="AH25" i="5" s="1"/>
  <c r="P26" i="5"/>
  <c r="P27" i="5"/>
  <c r="P28" i="5"/>
  <c r="AH28" i="5" s="1"/>
  <c r="P29" i="5"/>
  <c r="AH29" i="5" s="1"/>
  <c r="P30" i="5"/>
  <c r="AH30" i="5" s="1"/>
  <c r="P31" i="5"/>
  <c r="AH31" i="5" s="1"/>
  <c r="P32" i="5"/>
  <c r="AH32" i="5" s="1"/>
  <c r="P33" i="5"/>
  <c r="AH33" i="5" s="1"/>
  <c r="P34" i="5"/>
  <c r="P35" i="5"/>
  <c r="P36" i="5"/>
  <c r="AH36" i="5" s="1"/>
  <c r="P37" i="5"/>
  <c r="AH37" i="5" s="1"/>
  <c r="P38" i="5"/>
  <c r="AH38" i="5" s="1"/>
  <c r="P39" i="5"/>
  <c r="AH39" i="5" s="1"/>
  <c r="P40" i="5"/>
  <c r="AH40" i="5" s="1"/>
  <c r="P41" i="5"/>
  <c r="AH41" i="5" s="1"/>
  <c r="P42" i="5"/>
  <c r="P43" i="5"/>
  <c r="P44" i="5"/>
  <c r="AH44" i="5" s="1"/>
  <c r="P45" i="5"/>
  <c r="AH45" i="5" s="1"/>
  <c r="P46" i="5"/>
  <c r="AH46" i="5" s="1"/>
  <c r="P47" i="5"/>
  <c r="AH47" i="5" s="1"/>
  <c r="P48" i="5"/>
  <c r="AH48" i="5" s="1"/>
  <c r="P49" i="5"/>
  <c r="AH49" i="5" s="1"/>
  <c r="P50" i="5"/>
  <c r="P51" i="5"/>
  <c r="P52" i="5"/>
  <c r="AH52" i="5" s="1"/>
  <c r="P53" i="5"/>
  <c r="AH53" i="5" s="1"/>
  <c r="P54" i="5"/>
  <c r="AH54" i="5" s="1"/>
  <c r="P55" i="5"/>
  <c r="AH55" i="5" s="1"/>
  <c r="P56" i="5"/>
  <c r="AH56" i="5" s="1"/>
  <c r="P57" i="5"/>
  <c r="AH57" i="5" s="1"/>
  <c r="P58" i="5"/>
  <c r="P59" i="5"/>
  <c r="P60" i="5"/>
  <c r="AH60" i="5" s="1"/>
  <c r="P61" i="5"/>
  <c r="AH61" i="5" s="1"/>
  <c r="P62" i="5"/>
  <c r="AH62" i="5" s="1"/>
  <c r="P63" i="5"/>
  <c r="AH63" i="5" s="1"/>
  <c r="P64" i="5"/>
  <c r="AH64" i="5" s="1"/>
  <c r="P65" i="5"/>
  <c r="AH65" i="5" s="1"/>
  <c r="P66" i="5"/>
  <c r="P67" i="5"/>
  <c r="P68" i="5"/>
  <c r="AH68" i="5" s="1"/>
  <c r="P69" i="5"/>
  <c r="AH69" i="5" s="1"/>
  <c r="P70" i="5"/>
  <c r="AH70" i="5" s="1"/>
  <c r="P71" i="5"/>
  <c r="AH71" i="5" s="1"/>
  <c r="P72" i="5"/>
  <c r="AH72" i="5" s="1"/>
  <c r="P73" i="5"/>
  <c r="AH73" i="5" s="1"/>
  <c r="P74" i="5"/>
  <c r="P75" i="5"/>
  <c r="P76" i="5"/>
  <c r="AH76" i="5" s="1"/>
  <c r="P77" i="5"/>
  <c r="AH77" i="5" s="1"/>
  <c r="P78" i="5"/>
  <c r="AH78" i="5" s="1"/>
  <c r="P79" i="5"/>
  <c r="AH79" i="5" s="1"/>
  <c r="P80" i="5"/>
  <c r="AH80" i="5" s="1"/>
  <c r="P81" i="5"/>
  <c r="AH81" i="5" s="1"/>
  <c r="P82" i="5"/>
  <c r="P83" i="5"/>
  <c r="P84" i="5"/>
  <c r="AH84" i="5" s="1"/>
  <c r="P85" i="5"/>
  <c r="AH85" i="5" s="1"/>
  <c r="P86" i="5"/>
  <c r="AH86" i="5" s="1"/>
  <c r="P87" i="5"/>
  <c r="AH87" i="5" s="1"/>
  <c r="P88" i="5"/>
  <c r="AH88" i="5" s="1"/>
  <c r="P89" i="5"/>
  <c r="AH89" i="5" s="1"/>
  <c r="P90" i="5"/>
  <c r="P91" i="5"/>
  <c r="P92" i="5"/>
  <c r="AH92" i="5" s="1"/>
  <c r="P93" i="5"/>
  <c r="AH93" i="5" s="1"/>
  <c r="P94" i="5"/>
  <c r="AH94" i="5" s="1"/>
  <c r="P95" i="5"/>
  <c r="AH95" i="5" s="1"/>
  <c r="P96" i="5"/>
  <c r="AH96" i="5" s="1"/>
  <c r="P97" i="5"/>
  <c r="AH97" i="5" s="1"/>
  <c r="P98" i="5"/>
  <c r="P99" i="5"/>
  <c r="P100" i="5"/>
  <c r="AH100" i="5" s="1"/>
  <c r="P101" i="5"/>
  <c r="AH101" i="5" s="1"/>
  <c r="P102" i="5"/>
  <c r="AH102" i="5" s="1"/>
  <c r="P103" i="5"/>
  <c r="AH103" i="5" s="1"/>
  <c r="P104" i="5"/>
  <c r="AH104" i="5" s="1"/>
  <c r="P105" i="5"/>
  <c r="AH105" i="5" s="1"/>
  <c r="P106" i="5"/>
  <c r="P107" i="5"/>
  <c r="P108" i="5"/>
  <c r="AH108" i="5" s="1"/>
  <c r="P109" i="5"/>
  <c r="AH109" i="5" s="1"/>
  <c r="P110" i="5"/>
  <c r="AH110" i="5" s="1"/>
  <c r="P111" i="5"/>
  <c r="AH111" i="5" s="1"/>
  <c r="P112" i="5"/>
  <c r="AH112" i="5" s="1"/>
  <c r="P113" i="5"/>
  <c r="AH113" i="5" s="1"/>
  <c r="P114" i="5"/>
  <c r="P115" i="5"/>
  <c r="P116" i="5"/>
  <c r="AH116" i="5" s="1"/>
  <c r="P117" i="5"/>
  <c r="AH117" i="5" s="1"/>
  <c r="P118" i="5"/>
  <c r="AH118" i="5" s="1"/>
  <c r="P119" i="5"/>
  <c r="AH119" i="5" s="1"/>
  <c r="P120" i="5"/>
  <c r="AH120" i="5" s="1"/>
  <c r="P121" i="5"/>
  <c r="AH121" i="5" s="1"/>
  <c r="P122" i="5"/>
  <c r="P123" i="5"/>
  <c r="P124" i="5"/>
  <c r="AH124" i="5" s="1"/>
  <c r="P125" i="5"/>
  <c r="AH125" i="5" s="1"/>
  <c r="P126" i="5"/>
  <c r="AH126" i="5" s="1"/>
  <c r="P127" i="5"/>
  <c r="AH127" i="5" s="1"/>
  <c r="P128" i="5"/>
  <c r="AH128" i="5" s="1"/>
  <c r="P129" i="5"/>
  <c r="AH129" i="5" s="1"/>
  <c r="P130" i="5"/>
  <c r="P131" i="5"/>
  <c r="P132" i="5"/>
  <c r="AH132" i="5" s="1"/>
  <c r="P133" i="5"/>
  <c r="AH133" i="5" s="1"/>
  <c r="P134" i="5"/>
  <c r="AH134" i="5" s="1"/>
  <c r="P135" i="5"/>
  <c r="AH135" i="5" s="1"/>
  <c r="P136" i="5"/>
  <c r="AH136" i="5" s="1"/>
  <c r="P137" i="5"/>
  <c r="AH137" i="5" s="1"/>
  <c r="P138" i="5"/>
  <c r="P139" i="5"/>
  <c r="P140" i="5"/>
  <c r="AH140" i="5" s="1"/>
  <c r="P141" i="5"/>
  <c r="AH141" i="5" s="1"/>
  <c r="P142" i="5"/>
  <c r="AH142" i="5" s="1"/>
  <c r="P143" i="5"/>
  <c r="AH143" i="5" s="1"/>
  <c r="P144" i="5"/>
  <c r="AH144" i="5" s="1"/>
  <c r="P145" i="5"/>
  <c r="AH145" i="5" s="1"/>
  <c r="P146" i="5"/>
  <c r="P147" i="5"/>
  <c r="P148" i="5"/>
  <c r="AH148" i="5" s="1"/>
  <c r="P149" i="5"/>
  <c r="AH149" i="5" s="1"/>
  <c r="P150" i="5"/>
  <c r="AH150" i="5" s="1"/>
  <c r="P151" i="5"/>
  <c r="AH151" i="5" s="1"/>
  <c r="P152" i="5"/>
  <c r="AH152" i="5" s="1"/>
  <c r="P153" i="5"/>
  <c r="AH153" i="5" s="1"/>
  <c r="P154" i="5"/>
  <c r="P155" i="5"/>
  <c r="P156" i="5"/>
  <c r="AH156" i="5" s="1"/>
  <c r="P157" i="5"/>
  <c r="AH157" i="5" s="1"/>
  <c r="P158" i="5"/>
  <c r="AH158" i="5" s="1"/>
  <c r="P159" i="5"/>
  <c r="AH159" i="5" s="1"/>
  <c r="P160" i="5"/>
  <c r="AH160" i="5" s="1"/>
  <c r="P161" i="5"/>
  <c r="AH161" i="5" s="1"/>
  <c r="P162" i="5"/>
  <c r="P163" i="5"/>
  <c r="P164" i="5"/>
  <c r="AH164" i="5" s="1"/>
  <c r="P165" i="5"/>
  <c r="AH165" i="5" s="1"/>
  <c r="P166" i="5"/>
  <c r="AH166" i="5" s="1"/>
  <c r="P167" i="5"/>
  <c r="AH167" i="5" s="1"/>
  <c r="P168" i="5"/>
  <c r="AH168" i="5" s="1"/>
  <c r="P169" i="5"/>
  <c r="AH169" i="5" s="1"/>
  <c r="P170" i="5"/>
  <c r="P171" i="5"/>
  <c r="P172" i="5"/>
  <c r="AH172" i="5" s="1"/>
  <c r="P173" i="5"/>
  <c r="AH173" i="5" s="1"/>
  <c r="P174" i="5"/>
  <c r="AH174" i="5" s="1"/>
  <c r="P175" i="5"/>
  <c r="AH175" i="5" s="1"/>
  <c r="P176" i="5"/>
  <c r="AH176" i="5" s="1"/>
  <c r="P177" i="5"/>
  <c r="AH177" i="5" s="1"/>
  <c r="P178" i="5"/>
  <c r="P179" i="5"/>
  <c r="P180" i="5"/>
  <c r="AH180" i="5" s="1"/>
  <c r="P181" i="5"/>
  <c r="AH181" i="5" s="1"/>
  <c r="P182" i="5"/>
  <c r="AH182" i="5" s="1"/>
  <c r="P183" i="5"/>
  <c r="AH183" i="5" s="1"/>
  <c r="P184" i="5"/>
  <c r="AH184" i="5" s="1"/>
  <c r="P185" i="5"/>
  <c r="AH185" i="5" s="1"/>
  <c r="P186" i="5"/>
  <c r="P187" i="5"/>
  <c r="P188" i="5"/>
  <c r="AH188" i="5" s="1"/>
  <c r="P189" i="5"/>
  <c r="AH189" i="5" s="1"/>
  <c r="P190" i="5"/>
  <c r="AH190" i="5" s="1"/>
  <c r="P191" i="5"/>
  <c r="AH191" i="5" s="1"/>
  <c r="P192" i="5"/>
  <c r="AH192" i="5" s="1"/>
  <c r="P193" i="5"/>
  <c r="AH193" i="5" s="1"/>
  <c r="P194" i="5"/>
  <c r="P195" i="5"/>
  <c r="P196" i="5"/>
  <c r="AH196" i="5" s="1"/>
  <c r="P197" i="5"/>
  <c r="AH197" i="5" s="1"/>
  <c r="P198" i="5"/>
  <c r="AH198" i="5" s="1"/>
  <c r="P199" i="5"/>
  <c r="AH199" i="5" s="1"/>
  <c r="P200" i="5"/>
  <c r="AH200" i="5" s="1"/>
  <c r="P201" i="5"/>
  <c r="AH201" i="5" s="1"/>
  <c r="P202" i="5"/>
  <c r="P203" i="5"/>
  <c r="P204" i="5"/>
  <c r="AH204" i="5" s="1"/>
  <c r="P205" i="5"/>
  <c r="AH205" i="5" s="1"/>
  <c r="P206" i="5"/>
  <c r="AH206" i="5" s="1"/>
  <c r="P207" i="5"/>
  <c r="AH207" i="5" s="1"/>
  <c r="P208" i="5"/>
  <c r="AH208" i="5" s="1"/>
  <c r="P209" i="5"/>
  <c r="AH209" i="5" s="1"/>
  <c r="P210" i="5"/>
  <c r="P211" i="5"/>
  <c r="P212" i="5"/>
  <c r="AH212" i="5" s="1"/>
  <c r="P213" i="5"/>
  <c r="AH213" i="5" s="1"/>
  <c r="P214" i="5"/>
  <c r="AH214" i="5" s="1"/>
  <c r="P215" i="5"/>
  <c r="AH215" i="5" s="1"/>
  <c r="P216" i="5"/>
  <c r="AH216" i="5" s="1"/>
  <c r="P217" i="5"/>
  <c r="AH217" i="5" s="1"/>
  <c r="P218" i="5"/>
  <c r="P219" i="5"/>
  <c r="P220" i="5"/>
  <c r="AH220" i="5" s="1"/>
  <c r="P221" i="5"/>
  <c r="AH221" i="5" s="1"/>
  <c r="P222" i="5"/>
  <c r="AH222" i="5" s="1"/>
  <c r="P223" i="5"/>
  <c r="AH223" i="5" s="1"/>
  <c r="P224" i="5"/>
  <c r="AH224" i="5" s="1"/>
  <c r="P225" i="5"/>
  <c r="AH225" i="5" s="1"/>
  <c r="P226" i="5"/>
  <c r="P227" i="5"/>
  <c r="P228" i="5"/>
  <c r="AH228" i="5" s="1"/>
  <c r="P229" i="5"/>
  <c r="AH229" i="5" s="1"/>
  <c r="P230" i="5"/>
  <c r="AH230" i="5" s="1"/>
  <c r="P231" i="5"/>
  <c r="AH231" i="5" s="1"/>
  <c r="P232" i="5"/>
  <c r="AH232" i="5" s="1"/>
  <c r="P233" i="5"/>
  <c r="AH233" i="5" s="1"/>
  <c r="P234" i="5"/>
  <c r="P235" i="5"/>
  <c r="P236" i="5"/>
  <c r="AH236" i="5" s="1"/>
  <c r="P237" i="5"/>
  <c r="AH237" i="5" s="1"/>
  <c r="P238" i="5"/>
  <c r="AH238" i="5" s="1"/>
  <c r="P239" i="5"/>
  <c r="AH239" i="5" s="1"/>
  <c r="P240" i="5"/>
  <c r="AH240" i="5" s="1"/>
  <c r="P241" i="5"/>
  <c r="AH241" i="5" s="1"/>
  <c r="P242" i="5"/>
  <c r="P243" i="5"/>
  <c r="P244" i="5"/>
  <c r="AH244" i="5" s="1"/>
  <c r="P245" i="5"/>
  <c r="AH245" i="5" s="1"/>
  <c r="P246" i="5"/>
  <c r="AH246" i="5" s="1"/>
  <c r="P247" i="5"/>
  <c r="AH247" i="5" s="1"/>
  <c r="P248" i="5"/>
  <c r="AH248" i="5" s="1"/>
  <c r="P249" i="5"/>
  <c r="AH249" i="5" s="1"/>
  <c r="P250" i="5"/>
  <c r="P251" i="5"/>
  <c r="P252" i="5"/>
  <c r="AH252" i="5" s="1"/>
  <c r="P253" i="5"/>
  <c r="AH253" i="5" s="1"/>
  <c r="P254" i="5"/>
  <c r="AH254" i="5" s="1"/>
  <c r="P255" i="5"/>
  <c r="AH255" i="5" s="1"/>
  <c r="P256" i="5"/>
  <c r="AH256" i="5" s="1"/>
  <c r="P257" i="5"/>
  <c r="AH257" i="5" s="1"/>
  <c r="P258" i="5"/>
  <c r="P259" i="5"/>
  <c r="P260" i="5"/>
  <c r="AH260" i="5" s="1"/>
  <c r="P261" i="5"/>
  <c r="AH261" i="5" s="1"/>
  <c r="P262" i="5"/>
  <c r="AH262" i="5" s="1"/>
  <c r="P263" i="5"/>
  <c r="AH263" i="5" s="1"/>
  <c r="P264" i="5"/>
  <c r="AH264" i="5" s="1"/>
  <c r="P265" i="5"/>
  <c r="AH265" i="5" s="1"/>
  <c r="P266" i="5"/>
  <c r="P267" i="5"/>
  <c r="P268" i="5"/>
  <c r="AH268" i="5" s="1"/>
  <c r="P269" i="5"/>
  <c r="AH269" i="5" s="1"/>
  <c r="P270" i="5"/>
  <c r="AH270" i="5" s="1"/>
  <c r="P271" i="5"/>
  <c r="AH271" i="5" s="1"/>
  <c r="P272" i="5"/>
  <c r="AH272" i="5" s="1"/>
  <c r="P273" i="5"/>
  <c r="AH273" i="5" s="1"/>
  <c r="P274" i="5"/>
  <c r="P275" i="5"/>
  <c r="P276" i="5"/>
  <c r="AH276" i="5" s="1"/>
  <c r="P277" i="5"/>
  <c r="AH277" i="5" s="1"/>
  <c r="P278" i="5"/>
  <c r="AH278" i="5" s="1"/>
  <c r="P279" i="5"/>
  <c r="AH279" i="5" s="1"/>
  <c r="P280" i="5"/>
  <c r="AH280" i="5" s="1"/>
  <c r="P281" i="5"/>
  <c r="AH281" i="5" s="1"/>
  <c r="P282" i="5"/>
  <c r="P283" i="5"/>
  <c r="P284" i="5"/>
  <c r="AH284" i="5" s="1"/>
  <c r="P285" i="5"/>
  <c r="AH285" i="5" s="1"/>
  <c r="P286" i="5"/>
  <c r="AH286" i="5" s="1"/>
  <c r="P287" i="5"/>
  <c r="AH287" i="5" s="1"/>
  <c r="P288" i="5"/>
  <c r="AH288" i="5" s="1"/>
  <c r="P289" i="5"/>
  <c r="AH289" i="5" s="1"/>
  <c r="P290" i="5"/>
  <c r="P291" i="5"/>
  <c r="P292" i="5"/>
  <c r="AH292" i="5" s="1"/>
  <c r="P293" i="5"/>
  <c r="AH293" i="5" s="1"/>
  <c r="P294" i="5"/>
  <c r="AH294" i="5" s="1"/>
  <c r="P295" i="5"/>
  <c r="AH295" i="5" s="1"/>
  <c r="P296" i="5"/>
  <c r="AH296" i="5" s="1"/>
  <c r="P297" i="5"/>
  <c r="AH297" i="5" s="1"/>
  <c r="P298" i="5"/>
  <c r="P299" i="5"/>
  <c r="P300" i="5"/>
  <c r="AH300" i="5" s="1"/>
  <c r="P301" i="5"/>
  <c r="AH301" i="5" s="1"/>
  <c r="P302" i="5"/>
  <c r="AH302" i="5" s="1"/>
  <c r="P303" i="5"/>
  <c r="AH303" i="5" s="1"/>
  <c r="AH14" i="5"/>
  <c r="AH23" i="5" l="1"/>
  <c r="U23" i="5"/>
  <c r="AH22" i="5"/>
  <c r="U22" i="5"/>
  <c r="AH21" i="5"/>
  <c r="U21" i="5"/>
  <c r="AH17" i="5"/>
  <c r="U17" i="5"/>
  <c r="AH20" i="5"/>
  <c r="U20" i="5"/>
  <c r="U212" i="5"/>
  <c r="AD212" i="5" s="1"/>
  <c r="AA212" i="5" s="1"/>
  <c r="Z212" i="5" s="1"/>
  <c r="U180" i="5"/>
  <c r="AD180" i="5" s="1"/>
  <c r="AA180" i="5" s="1"/>
  <c r="Z180" i="5" s="1"/>
  <c r="U262" i="5"/>
  <c r="AD262" i="5" s="1"/>
  <c r="AA262" i="5" s="1"/>
  <c r="Z262" i="5" s="1"/>
  <c r="U134" i="5"/>
  <c r="AD134" i="5" s="1"/>
  <c r="AA134" i="5" s="1"/>
  <c r="Z134" i="5" s="1"/>
  <c r="U110" i="5"/>
  <c r="AD110" i="5" s="1"/>
  <c r="AA110" i="5" s="1"/>
  <c r="Z110" i="5" s="1"/>
  <c r="U132" i="5"/>
  <c r="AD132" i="5" s="1"/>
  <c r="AA132" i="5" s="1"/>
  <c r="Z132" i="5" s="1"/>
  <c r="U84" i="5"/>
  <c r="AD84" i="5" s="1"/>
  <c r="AA84" i="5" s="1"/>
  <c r="Z84" i="5" s="1"/>
  <c r="U260" i="5"/>
  <c r="AD260" i="5" s="1"/>
  <c r="AA260" i="5" s="1"/>
  <c r="Z260" i="5" s="1"/>
  <c r="U52" i="5"/>
  <c r="AD52" i="5" s="1"/>
  <c r="AA52" i="5" s="1"/>
  <c r="Z52" i="5" s="1"/>
  <c r="U238" i="5"/>
  <c r="AD238" i="5" s="1"/>
  <c r="AA238" i="5" s="1"/>
  <c r="Z238" i="5" s="1"/>
  <c r="U286" i="5"/>
  <c r="AD286" i="5" s="1"/>
  <c r="AA286" i="5" s="1"/>
  <c r="Z286" i="5" s="1"/>
  <c r="U231" i="5"/>
  <c r="AD231" i="5" s="1"/>
  <c r="AA231" i="5" s="1"/>
  <c r="Z231" i="5" s="1"/>
  <c r="U182" i="5"/>
  <c r="AD182" i="5" s="1"/>
  <c r="AA182" i="5" s="1"/>
  <c r="Z182" i="5" s="1"/>
  <c r="U279" i="5"/>
  <c r="AD279" i="5" s="1"/>
  <c r="AA279" i="5" s="1"/>
  <c r="Z279" i="5" s="1"/>
  <c r="U255" i="5"/>
  <c r="AD255" i="5" s="1"/>
  <c r="AA255" i="5" s="1"/>
  <c r="Z255" i="5" s="1"/>
  <c r="U230" i="5"/>
  <c r="AD230" i="5" s="1"/>
  <c r="AA230" i="5" s="1"/>
  <c r="Z230" i="5" s="1"/>
  <c r="U206" i="5"/>
  <c r="AD206" i="5" s="1"/>
  <c r="AA206" i="5" s="1"/>
  <c r="Z206" i="5" s="1"/>
  <c r="U254" i="5"/>
  <c r="AD254" i="5" s="1"/>
  <c r="AA254" i="5" s="1"/>
  <c r="Z254" i="5" s="1"/>
  <c r="U175" i="5"/>
  <c r="AD175" i="5" s="1"/>
  <c r="AA175" i="5" s="1"/>
  <c r="Z175" i="5" s="1"/>
  <c r="U71" i="5"/>
  <c r="AD71" i="5" s="1"/>
  <c r="AA71" i="5" s="1"/>
  <c r="Z71" i="5" s="1"/>
  <c r="U47" i="5"/>
  <c r="AD47" i="5" s="1"/>
  <c r="AA47" i="5" s="1"/>
  <c r="Z47" i="5" s="1"/>
  <c r="U302" i="5"/>
  <c r="AD302" i="5" s="1"/>
  <c r="AA302" i="5" s="1"/>
  <c r="Z302" i="5" s="1"/>
  <c r="U276" i="5"/>
  <c r="AD276" i="5" s="1"/>
  <c r="AA276" i="5" s="1"/>
  <c r="Z276" i="5" s="1"/>
  <c r="U247" i="5"/>
  <c r="AD247" i="5" s="1"/>
  <c r="AA247" i="5" s="1"/>
  <c r="Z247" i="5" s="1"/>
  <c r="U223" i="5"/>
  <c r="AD223" i="5" s="1"/>
  <c r="AA223" i="5" s="1"/>
  <c r="Z223" i="5" s="1"/>
  <c r="U198" i="5"/>
  <c r="AD198" i="5" s="1"/>
  <c r="AA198" i="5" s="1"/>
  <c r="Z198" i="5" s="1"/>
  <c r="U174" i="5"/>
  <c r="AD174" i="5" s="1"/>
  <c r="AA174" i="5" s="1"/>
  <c r="Z174" i="5" s="1"/>
  <c r="U148" i="5"/>
  <c r="AD148" i="5" s="1"/>
  <c r="AA148" i="5" s="1"/>
  <c r="Z148" i="5" s="1"/>
  <c r="U119" i="5"/>
  <c r="AD119" i="5" s="1"/>
  <c r="AA119" i="5" s="1"/>
  <c r="Z119" i="5" s="1"/>
  <c r="U95" i="5"/>
  <c r="AD95" i="5" s="1"/>
  <c r="AA95" i="5" s="1"/>
  <c r="Z95" i="5" s="1"/>
  <c r="U70" i="5"/>
  <c r="AD70" i="5" s="1"/>
  <c r="AA70" i="5" s="1"/>
  <c r="Z70" i="5" s="1"/>
  <c r="U46" i="5"/>
  <c r="AD46" i="5" s="1"/>
  <c r="AA46" i="5" s="1"/>
  <c r="Z46" i="5" s="1"/>
  <c r="U295" i="5"/>
  <c r="AD295" i="5" s="1"/>
  <c r="AA295" i="5" s="1"/>
  <c r="Z295" i="5" s="1"/>
  <c r="U271" i="5"/>
  <c r="AD271" i="5" s="1"/>
  <c r="AA271" i="5" s="1"/>
  <c r="Z271" i="5" s="1"/>
  <c r="U246" i="5"/>
  <c r="AD246" i="5" s="1"/>
  <c r="AA246" i="5" s="1"/>
  <c r="Z246" i="5" s="1"/>
  <c r="U222" i="5"/>
  <c r="AD222" i="5" s="1"/>
  <c r="AA222" i="5" s="1"/>
  <c r="Z222" i="5" s="1"/>
  <c r="U196" i="5"/>
  <c r="AD196" i="5" s="1"/>
  <c r="AA196" i="5" s="1"/>
  <c r="Z196" i="5" s="1"/>
  <c r="U167" i="5"/>
  <c r="AD167" i="5" s="1"/>
  <c r="AA167" i="5" s="1"/>
  <c r="Z167" i="5" s="1"/>
  <c r="U143" i="5"/>
  <c r="AD143" i="5" s="1"/>
  <c r="AA143" i="5" s="1"/>
  <c r="Z143" i="5" s="1"/>
  <c r="U118" i="5"/>
  <c r="AD118" i="5" s="1"/>
  <c r="AA118" i="5" s="1"/>
  <c r="Z118" i="5" s="1"/>
  <c r="U94" i="5"/>
  <c r="AD94" i="5" s="1"/>
  <c r="AA94" i="5" s="1"/>
  <c r="Z94" i="5" s="1"/>
  <c r="U68" i="5"/>
  <c r="AD68" i="5" s="1"/>
  <c r="AA68" i="5" s="1"/>
  <c r="Z68" i="5" s="1"/>
  <c r="U39" i="5"/>
  <c r="AD39" i="5" s="1"/>
  <c r="AA39" i="5" s="1"/>
  <c r="Z39" i="5" s="1"/>
  <c r="U287" i="5"/>
  <c r="AD287" i="5" s="1"/>
  <c r="AA287" i="5" s="1"/>
  <c r="Z287" i="5" s="1"/>
  <c r="U183" i="5"/>
  <c r="AD183" i="5" s="1"/>
  <c r="AA183" i="5" s="1"/>
  <c r="Z183" i="5" s="1"/>
  <c r="U159" i="5"/>
  <c r="AD159" i="5" s="1"/>
  <c r="AA159" i="5" s="1"/>
  <c r="Z159" i="5" s="1"/>
  <c r="U31" i="5"/>
  <c r="AD31" i="5" s="1"/>
  <c r="AA31" i="5" s="1"/>
  <c r="Z31" i="5" s="1"/>
  <c r="U207" i="5"/>
  <c r="AD207" i="5" s="1"/>
  <c r="AA207" i="5" s="1"/>
  <c r="Z207" i="5" s="1"/>
  <c r="U158" i="5"/>
  <c r="AD158" i="5" s="1"/>
  <c r="AA158" i="5" s="1"/>
  <c r="Z158" i="5" s="1"/>
  <c r="U103" i="5"/>
  <c r="AD103" i="5" s="1"/>
  <c r="AA103" i="5" s="1"/>
  <c r="Z103" i="5" s="1"/>
  <c r="U54" i="5"/>
  <c r="AD54" i="5" s="1"/>
  <c r="AA54" i="5" s="1"/>
  <c r="Z54" i="5" s="1"/>
  <c r="U151" i="5"/>
  <c r="AD151" i="5" s="1"/>
  <c r="AA151" i="5" s="1"/>
  <c r="Z151" i="5" s="1"/>
  <c r="U127" i="5"/>
  <c r="AD127" i="5" s="1"/>
  <c r="AA127" i="5" s="1"/>
  <c r="Z127" i="5" s="1"/>
  <c r="U102" i="5"/>
  <c r="AD102" i="5" s="1"/>
  <c r="AA102" i="5" s="1"/>
  <c r="Z102" i="5" s="1"/>
  <c r="U78" i="5"/>
  <c r="AD78" i="5" s="1"/>
  <c r="AA78" i="5" s="1"/>
  <c r="Z78" i="5" s="1"/>
  <c r="U303" i="5"/>
  <c r="AD303" i="5" s="1"/>
  <c r="AA303" i="5" s="1"/>
  <c r="Z303" i="5" s="1"/>
  <c r="U228" i="5"/>
  <c r="AD228" i="5" s="1"/>
  <c r="AA228" i="5" s="1"/>
  <c r="Z228" i="5" s="1"/>
  <c r="U150" i="5"/>
  <c r="AD150" i="5" s="1"/>
  <c r="AA150" i="5" s="1"/>
  <c r="Z150" i="5" s="1"/>
  <c r="U100" i="5"/>
  <c r="AD100" i="5" s="1"/>
  <c r="AA100" i="5" s="1"/>
  <c r="Z100" i="5" s="1"/>
  <c r="U294" i="5"/>
  <c r="AD294" i="5" s="1"/>
  <c r="AA294" i="5" s="1"/>
  <c r="Z294" i="5" s="1"/>
  <c r="U270" i="5"/>
  <c r="AD270" i="5" s="1"/>
  <c r="AA270" i="5" s="1"/>
  <c r="Z270" i="5" s="1"/>
  <c r="U244" i="5"/>
  <c r="AD244" i="5" s="1"/>
  <c r="AA244" i="5" s="1"/>
  <c r="Z244" i="5" s="1"/>
  <c r="U215" i="5"/>
  <c r="AD215" i="5" s="1"/>
  <c r="AA215" i="5" s="1"/>
  <c r="Z215" i="5" s="1"/>
  <c r="U191" i="5"/>
  <c r="AD191" i="5" s="1"/>
  <c r="AA191" i="5" s="1"/>
  <c r="Z191" i="5" s="1"/>
  <c r="U166" i="5"/>
  <c r="AD166" i="5" s="1"/>
  <c r="AA166" i="5" s="1"/>
  <c r="Z166" i="5" s="1"/>
  <c r="U142" i="5"/>
  <c r="AD142" i="5" s="1"/>
  <c r="AA142" i="5" s="1"/>
  <c r="Z142" i="5" s="1"/>
  <c r="U116" i="5"/>
  <c r="AD116" i="5" s="1"/>
  <c r="AA116" i="5" s="1"/>
  <c r="Z116" i="5" s="1"/>
  <c r="U87" i="5"/>
  <c r="AD87" i="5" s="1"/>
  <c r="AA87" i="5" s="1"/>
  <c r="Z87" i="5" s="1"/>
  <c r="U63" i="5"/>
  <c r="AD63" i="5" s="1"/>
  <c r="AA63" i="5" s="1"/>
  <c r="Z63" i="5" s="1"/>
  <c r="U38" i="5"/>
  <c r="AD38" i="5" s="1"/>
  <c r="AA38" i="5" s="1"/>
  <c r="Z38" i="5" s="1"/>
  <c r="U55" i="5"/>
  <c r="AD55" i="5" s="1"/>
  <c r="AA55" i="5" s="1"/>
  <c r="Z55" i="5" s="1"/>
  <c r="U79" i="5"/>
  <c r="AD79" i="5" s="1"/>
  <c r="AA79" i="5" s="1"/>
  <c r="Z79" i="5" s="1"/>
  <c r="U30" i="5"/>
  <c r="AD30" i="5" s="1"/>
  <c r="AA30" i="5" s="1"/>
  <c r="Z30" i="5" s="1"/>
  <c r="U278" i="5"/>
  <c r="AD278" i="5" s="1"/>
  <c r="AA278" i="5" s="1"/>
  <c r="Z278" i="5" s="1"/>
  <c r="U199" i="5"/>
  <c r="AD199" i="5" s="1"/>
  <c r="AA199" i="5" s="1"/>
  <c r="Z199" i="5" s="1"/>
  <c r="U126" i="5"/>
  <c r="AD126" i="5" s="1"/>
  <c r="AA126" i="5" s="1"/>
  <c r="Z126" i="5" s="1"/>
  <c r="U292" i="5"/>
  <c r="AD292" i="5" s="1"/>
  <c r="AA292" i="5" s="1"/>
  <c r="Z292" i="5" s="1"/>
  <c r="U263" i="5"/>
  <c r="AD263" i="5" s="1"/>
  <c r="AA263" i="5" s="1"/>
  <c r="Z263" i="5" s="1"/>
  <c r="U239" i="5"/>
  <c r="AD239" i="5" s="1"/>
  <c r="AA239" i="5" s="1"/>
  <c r="Z239" i="5" s="1"/>
  <c r="U214" i="5"/>
  <c r="AD214" i="5" s="1"/>
  <c r="AA214" i="5" s="1"/>
  <c r="Z214" i="5" s="1"/>
  <c r="U190" i="5"/>
  <c r="AD190" i="5" s="1"/>
  <c r="AA190" i="5" s="1"/>
  <c r="Z190" i="5" s="1"/>
  <c r="U164" i="5"/>
  <c r="AD164" i="5" s="1"/>
  <c r="AA164" i="5" s="1"/>
  <c r="Z164" i="5" s="1"/>
  <c r="U135" i="5"/>
  <c r="AD135" i="5" s="1"/>
  <c r="AA135" i="5" s="1"/>
  <c r="Z135" i="5" s="1"/>
  <c r="U111" i="5"/>
  <c r="AD111" i="5" s="1"/>
  <c r="AA111" i="5" s="1"/>
  <c r="Z111" i="5" s="1"/>
  <c r="U86" i="5"/>
  <c r="AD86" i="5" s="1"/>
  <c r="AA86" i="5" s="1"/>
  <c r="Z86" i="5" s="1"/>
  <c r="U62" i="5"/>
  <c r="AD62" i="5" s="1"/>
  <c r="AA62" i="5" s="1"/>
  <c r="Z62" i="5" s="1"/>
  <c r="U36" i="5"/>
  <c r="AD36" i="5" s="1"/>
  <c r="AA36" i="5" s="1"/>
  <c r="Z36" i="5" s="1"/>
  <c r="U288" i="5"/>
  <c r="AD288" i="5" s="1"/>
  <c r="AA288" i="5" s="1"/>
  <c r="Z288" i="5" s="1"/>
  <c r="U272" i="5"/>
  <c r="AD272" i="5" s="1"/>
  <c r="AA272" i="5" s="1"/>
  <c r="Z272" i="5" s="1"/>
  <c r="U256" i="5"/>
  <c r="AD256" i="5" s="1"/>
  <c r="AA256" i="5" s="1"/>
  <c r="Z256" i="5" s="1"/>
  <c r="U240" i="5"/>
  <c r="AD240" i="5" s="1"/>
  <c r="AA240" i="5" s="1"/>
  <c r="Z240" i="5" s="1"/>
  <c r="U224" i="5"/>
  <c r="AD224" i="5" s="1"/>
  <c r="AA224" i="5" s="1"/>
  <c r="Z224" i="5" s="1"/>
  <c r="U208" i="5"/>
  <c r="AD208" i="5" s="1"/>
  <c r="AA208" i="5" s="1"/>
  <c r="Z208" i="5" s="1"/>
  <c r="U192" i="5"/>
  <c r="AD192" i="5" s="1"/>
  <c r="AA192" i="5" s="1"/>
  <c r="Z192" i="5" s="1"/>
  <c r="U176" i="5"/>
  <c r="AD176" i="5" s="1"/>
  <c r="AA176" i="5" s="1"/>
  <c r="Z176" i="5" s="1"/>
  <c r="U160" i="5"/>
  <c r="AD160" i="5" s="1"/>
  <c r="AA160" i="5" s="1"/>
  <c r="Z160" i="5" s="1"/>
  <c r="U144" i="5"/>
  <c r="AD144" i="5" s="1"/>
  <c r="AA144" i="5" s="1"/>
  <c r="Z144" i="5" s="1"/>
  <c r="U128" i="5"/>
  <c r="AD128" i="5" s="1"/>
  <c r="AA128" i="5" s="1"/>
  <c r="Z128" i="5" s="1"/>
  <c r="U112" i="5"/>
  <c r="AD112" i="5" s="1"/>
  <c r="AA112" i="5" s="1"/>
  <c r="Z112" i="5" s="1"/>
  <c r="U96" i="5"/>
  <c r="AD96" i="5" s="1"/>
  <c r="AA96" i="5" s="1"/>
  <c r="Z96" i="5" s="1"/>
  <c r="U80" i="5"/>
  <c r="AD80" i="5" s="1"/>
  <c r="AA80" i="5" s="1"/>
  <c r="Z80" i="5" s="1"/>
  <c r="U64" i="5"/>
  <c r="AD64" i="5" s="1"/>
  <c r="AA64" i="5" s="1"/>
  <c r="Z64" i="5" s="1"/>
  <c r="U48" i="5"/>
  <c r="AD48" i="5" s="1"/>
  <c r="AA48" i="5" s="1"/>
  <c r="Z48" i="5" s="1"/>
  <c r="U32" i="5"/>
  <c r="AD32" i="5" s="1"/>
  <c r="AA32" i="5" s="1"/>
  <c r="Z32" i="5" s="1"/>
  <c r="AH299" i="5"/>
  <c r="U299" i="5"/>
  <c r="AD299" i="5" s="1"/>
  <c r="AA299" i="5" s="1"/>
  <c r="Z299" i="5" s="1"/>
  <c r="AH283" i="5"/>
  <c r="U283" i="5"/>
  <c r="AD283" i="5" s="1"/>
  <c r="AA283" i="5" s="1"/>
  <c r="Z283" i="5" s="1"/>
  <c r="AH267" i="5"/>
  <c r="U267" i="5"/>
  <c r="AD267" i="5" s="1"/>
  <c r="AA267" i="5" s="1"/>
  <c r="Z267" i="5" s="1"/>
  <c r="AH251" i="5"/>
  <c r="U251" i="5"/>
  <c r="AD251" i="5" s="1"/>
  <c r="AH227" i="5"/>
  <c r="U227" i="5"/>
  <c r="AD227" i="5" s="1"/>
  <c r="AA227" i="5" s="1"/>
  <c r="Z227" i="5" s="1"/>
  <c r="AH211" i="5"/>
  <c r="U211" i="5"/>
  <c r="AD211" i="5" s="1"/>
  <c r="AA211" i="5" s="1"/>
  <c r="Z211" i="5" s="1"/>
  <c r="AH195" i="5"/>
  <c r="U195" i="5"/>
  <c r="AD195" i="5" s="1"/>
  <c r="AA195" i="5" s="1"/>
  <c r="Z195" i="5" s="1"/>
  <c r="AH179" i="5"/>
  <c r="U179" i="5"/>
  <c r="AD179" i="5" s="1"/>
  <c r="AH163" i="5"/>
  <c r="U163" i="5"/>
  <c r="AD163" i="5" s="1"/>
  <c r="AA163" i="5" s="1"/>
  <c r="Z163" i="5" s="1"/>
  <c r="AH147" i="5"/>
  <c r="U147" i="5"/>
  <c r="AD147" i="5" s="1"/>
  <c r="AA147" i="5" s="1"/>
  <c r="Z147" i="5" s="1"/>
  <c r="AH123" i="5"/>
  <c r="U123" i="5"/>
  <c r="AD123" i="5" s="1"/>
  <c r="AA123" i="5" s="1"/>
  <c r="Z123" i="5" s="1"/>
  <c r="AH107" i="5"/>
  <c r="U107" i="5"/>
  <c r="AD107" i="5" s="1"/>
  <c r="AH91" i="5"/>
  <c r="U91" i="5"/>
  <c r="AD91" i="5" s="1"/>
  <c r="AA91" i="5" s="1"/>
  <c r="Z91" i="5" s="1"/>
  <c r="AH75" i="5"/>
  <c r="U75" i="5"/>
  <c r="AD75" i="5" s="1"/>
  <c r="AA75" i="5" s="1"/>
  <c r="Z75" i="5" s="1"/>
  <c r="AH59" i="5"/>
  <c r="U59" i="5"/>
  <c r="AD59" i="5" s="1"/>
  <c r="AA59" i="5" s="1"/>
  <c r="Z59" i="5" s="1"/>
  <c r="AH43" i="5"/>
  <c r="U43" i="5"/>
  <c r="AD43" i="5" s="1"/>
  <c r="AH27" i="5"/>
  <c r="U27" i="5"/>
  <c r="AH282" i="5"/>
  <c r="U282" i="5"/>
  <c r="AD282" i="5" s="1"/>
  <c r="AA282" i="5" s="1"/>
  <c r="Z282" i="5" s="1"/>
  <c r="AH266" i="5"/>
  <c r="U266" i="5"/>
  <c r="AD266" i="5" s="1"/>
  <c r="AA266" i="5" s="1"/>
  <c r="Z266" i="5" s="1"/>
  <c r="AH250" i="5"/>
  <c r="U250" i="5"/>
  <c r="AD250" i="5" s="1"/>
  <c r="AH234" i="5"/>
  <c r="U234" i="5"/>
  <c r="AD234" i="5" s="1"/>
  <c r="AA234" i="5" s="1"/>
  <c r="Z234" i="5" s="1"/>
  <c r="AH210" i="5"/>
  <c r="U210" i="5"/>
  <c r="AD210" i="5" s="1"/>
  <c r="AA210" i="5" s="1"/>
  <c r="Z210" i="5" s="1"/>
  <c r="AH178" i="5"/>
  <c r="U178" i="5"/>
  <c r="AD178" i="5" s="1"/>
  <c r="AA178" i="5" s="1"/>
  <c r="Z178" i="5" s="1"/>
  <c r="AH162" i="5"/>
  <c r="U162" i="5"/>
  <c r="AD162" i="5" s="1"/>
  <c r="AH138" i="5"/>
  <c r="U138" i="5"/>
  <c r="AD138" i="5" s="1"/>
  <c r="AA138" i="5" s="1"/>
  <c r="Z138" i="5" s="1"/>
  <c r="AH122" i="5"/>
  <c r="U122" i="5"/>
  <c r="AD122" i="5" s="1"/>
  <c r="AA122" i="5" s="1"/>
  <c r="Z122" i="5" s="1"/>
  <c r="AH106" i="5"/>
  <c r="U106" i="5"/>
  <c r="AD106" i="5" s="1"/>
  <c r="AA106" i="5" s="1"/>
  <c r="Z106" i="5" s="1"/>
  <c r="AH98" i="5"/>
  <c r="U98" i="5"/>
  <c r="AD98" i="5" s="1"/>
  <c r="AA98" i="5" s="1"/>
  <c r="Z98" i="5" s="1"/>
  <c r="AH90" i="5"/>
  <c r="U90" i="5"/>
  <c r="AD90" i="5" s="1"/>
  <c r="AA90" i="5" s="1"/>
  <c r="Z90" i="5" s="1"/>
  <c r="AH74" i="5"/>
  <c r="U74" i="5"/>
  <c r="AD74" i="5" s="1"/>
  <c r="AA74" i="5" s="1"/>
  <c r="Z74" i="5" s="1"/>
  <c r="AH66" i="5"/>
  <c r="U66" i="5"/>
  <c r="AD66" i="5" s="1"/>
  <c r="AA66" i="5" s="1"/>
  <c r="Z66" i="5" s="1"/>
  <c r="AH58" i="5"/>
  <c r="U58" i="5"/>
  <c r="AD58" i="5" s="1"/>
  <c r="AA58" i="5" s="1"/>
  <c r="Z58" i="5" s="1"/>
  <c r="AH50" i="5"/>
  <c r="U50" i="5"/>
  <c r="AD50" i="5" s="1"/>
  <c r="AA50" i="5" s="1"/>
  <c r="Z50" i="5" s="1"/>
  <c r="AH42" i="5"/>
  <c r="U42" i="5"/>
  <c r="AD42" i="5" s="1"/>
  <c r="AA42" i="5" s="1"/>
  <c r="Z42" i="5" s="1"/>
  <c r="AH34" i="5"/>
  <c r="U34" i="5"/>
  <c r="AD34" i="5" s="1"/>
  <c r="AA34" i="5" s="1"/>
  <c r="Z34" i="5" s="1"/>
  <c r="AH26" i="5"/>
  <c r="U26" i="5"/>
  <c r="AH18" i="5"/>
  <c r="U300" i="5"/>
  <c r="AD300" i="5" s="1"/>
  <c r="AA300" i="5" s="1"/>
  <c r="Z300" i="5" s="1"/>
  <c r="U284" i="5"/>
  <c r="AD284" i="5" s="1"/>
  <c r="AA284" i="5" s="1"/>
  <c r="Z284" i="5" s="1"/>
  <c r="U268" i="5"/>
  <c r="AD268" i="5" s="1"/>
  <c r="AA268" i="5" s="1"/>
  <c r="Z268" i="5" s="1"/>
  <c r="U252" i="5"/>
  <c r="AD252" i="5" s="1"/>
  <c r="AA252" i="5" s="1"/>
  <c r="Z252" i="5" s="1"/>
  <c r="U236" i="5"/>
  <c r="AD236" i="5" s="1"/>
  <c r="AA236" i="5" s="1"/>
  <c r="Z236" i="5" s="1"/>
  <c r="U220" i="5"/>
  <c r="AD220" i="5" s="1"/>
  <c r="AA220" i="5" s="1"/>
  <c r="Z220" i="5" s="1"/>
  <c r="U204" i="5"/>
  <c r="AD204" i="5" s="1"/>
  <c r="AA204" i="5" s="1"/>
  <c r="Z204" i="5" s="1"/>
  <c r="U188" i="5"/>
  <c r="AD188" i="5" s="1"/>
  <c r="AA188" i="5" s="1"/>
  <c r="Z188" i="5" s="1"/>
  <c r="U172" i="5"/>
  <c r="AD172" i="5" s="1"/>
  <c r="AA172" i="5" s="1"/>
  <c r="Z172" i="5" s="1"/>
  <c r="U156" i="5"/>
  <c r="AD156" i="5" s="1"/>
  <c r="AA156" i="5" s="1"/>
  <c r="Z156" i="5" s="1"/>
  <c r="U140" i="5"/>
  <c r="AD140" i="5" s="1"/>
  <c r="AA140" i="5" s="1"/>
  <c r="Z140" i="5" s="1"/>
  <c r="U124" i="5"/>
  <c r="AD124" i="5" s="1"/>
  <c r="AA124" i="5" s="1"/>
  <c r="Z124" i="5" s="1"/>
  <c r="U108" i="5"/>
  <c r="AD108" i="5" s="1"/>
  <c r="AA108" i="5" s="1"/>
  <c r="Z108" i="5" s="1"/>
  <c r="U92" i="5"/>
  <c r="AD92" i="5" s="1"/>
  <c r="AA92" i="5" s="1"/>
  <c r="Z92" i="5" s="1"/>
  <c r="U76" i="5"/>
  <c r="AD76" i="5" s="1"/>
  <c r="AA76" i="5" s="1"/>
  <c r="Z76" i="5" s="1"/>
  <c r="U60" i="5"/>
  <c r="AD60" i="5" s="1"/>
  <c r="AA60" i="5" s="1"/>
  <c r="Z60" i="5" s="1"/>
  <c r="U44" i="5"/>
  <c r="AD44" i="5" s="1"/>
  <c r="AA44" i="5" s="1"/>
  <c r="Z44" i="5" s="1"/>
  <c r="U28" i="5"/>
  <c r="AD28" i="5" s="1"/>
  <c r="AA28" i="5" s="1"/>
  <c r="Z28" i="5" s="1"/>
  <c r="AH291" i="5"/>
  <c r="U291" i="5"/>
  <c r="AD291" i="5" s="1"/>
  <c r="AH275" i="5"/>
  <c r="U275" i="5"/>
  <c r="AD275" i="5" s="1"/>
  <c r="AH259" i="5"/>
  <c r="U259" i="5"/>
  <c r="AD259" i="5" s="1"/>
  <c r="AH243" i="5"/>
  <c r="U243" i="5"/>
  <c r="AD243" i="5" s="1"/>
  <c r="AH235" i="5"/>
  <c r="U235" i="5"/>
  <c r="AD235" i="5" s="1"/>
  <c r="AH219" i="5"/>
  <c r="U219" i="5"/>
  <c r="AD219" i="5" s="1"/>
  <c r="AH203" i="5"/>
  <c r="U203" i="5"/>
  <c r="AD203" i="5" s="1"/>
  <c r="AH187" i="5"/>
  <c r="U187" i="5"/>
  <c r="AD187" i="5" s="1"/>
  <c r="AH171" i="5"/>
  <c r="U171" i="5"/>
  <c r="AD171" i="5" s="1"/>
  <c r="AH155" i="5"/>
  <c r="U155" i="5"/>
  <c r="AD155" i="5" s="1"/>
  <c r="AH139" i="5"/>
  <c r="U139" i="5"/>
  <c r="AD139" i="5" s="1"/>
  <c r="AH131" i="5"/>
  <c r="U131" i="5"/>
  <c r="AD131" i="5" s="1"/>
  <c r="AH115" i="5"/>
  <c r="U115" i="5"/>
  <c r="AD115" i="5" s="1"/>
  <c r="AH99" i="5"/>
  <c r="U99" i="5"/>
  <c r="AD99" i="5" s="1"/>
  <c r="AH83" i="5"/>
  <c r="U83" i="5"/>
  <c r="AD83" i="5" s="1"/>
  <c r="AH67" i="5"/>
  <c r="U67" i="5"/>
  <c r="AD67" i="5" s="1"/>
  <c r="AH51" i="5"/>
  <c r="U51" i="5"/>
  <c r="AD51" i="5" s="1"/>
  <c r="AH35" i="5"/>
  <c r="U35" i="5"/>
  <c r="AD35" i="5" s="1"/>
  <c r="AH19" i="5"/>
  <c r="AH298" i="5"/>
  <c r="U298" i="5"/>
  <c r="AD298" i="5" s="1"/>
  <c r="AA298" i="5" s="1"/>
  <c r="Z298" i="5" s="1"/>
  <c r="AH290" i="5"/>
  <c r="U290" i="5"/>
  <c r="AD290" i="5" s="1"/>
  <c r="AA290" i="5" s="1"/>
  <c r="Z290" i="5" s="1"/>
  <c r="AH274" i="5"/>
  <c r="U274" i="5"/>
  <c r="AD274" i="5" s="1"/>
  <c r="AA274" i="5" s="1"/>
  <c r="Z274" i="5" s="1"/>
  <c r="AH258" i="5"/>
  <c r="U258" i="5"/>
  <c r="AD258" i="5" s="1"/>
  <c r="AA258" i="5" s="1"/>
  <c r="Z258" i="5" s="1"/>
  <c r="AH242" i="5"/>
  <c r="U242" i="5"/>
  <c r="AD242" i="5" s="1"/>
  <c r="AA242" i="5" s="1"/>
  <c r="Z242" i="5" s="1"/>
  <c r="AH226" i="5"/>
  <c r="U226" i="5"/>
  <c r="AD226" i="5" s="1"/>
  <c r="AA226" i="5" s="1"/>
  <c r="Z226" i="5" s="1"/>
  <c r="AH218" i="5"/>
  <c r="U218" i="5"/>
  <c r="AD218" i="5" s="1"/>
  <c r="AA218" i="5" s="1"/>
  <c r="Z218" i="5" s="1"/>
  <c r="AH202" i="5"/>
  <c r="U202" i="5"/>
  <c r="AD202" i="5" s="1"/>
  <c r="AA202" i="5" s="1"/>
  <c r="Z202" i="5" s="1"/>
  <c r="AH194" i="5"/>
  <c r="U194" i="5"/>
  <c r="AD194" i="5" s="1"/>
  <c r="AA194" i="5" s="1"/>
  <c r="Z194" i="5" s="1"/>
  <c r="AH186" i="5"/>
  <c r="U186" i="5"/>
  <c r="AD186" i="5" s="1"/>
  <c r="AA186" i="5" s="1"/>
  <c r="Z186" i="5" s="1"/>
  <c r="AH170" i="5"/>
  <c r="U170" i="5"/>
  <c r="AD170" i="5" s="1"/>
  <c r="AA170" i="5" s="1"/>
  <c r="Z170" i="5" s="1"/>
  <c r="AH154" i="5"/>
  <c r="U154" i="5"/>
  <c r="AD154" i="5" s="1"/>
  <c r="AA154" i="5" s="1"/>
  <c r="Z154" i="5" s="1"/>
  <c r="AH146" i="5"/>
  <c r="U146" i="5"/>
  <c r="AD146" i="5" s="1"/>
  <c r="AA146" i="5" s="1"/>
  <c r="Z146" i="5" s="1"/>
  <c r="AH130" i="5"/>
  <c r="U130" i="5"/>
  <c r="AD130" i="5" s="1"/>
  <c r="AA130" i="5" s="1"/>
  <c r="Z130" i="5" s="1"/>
  <c r="AH114" i="5"/>
  <c r="U114" i="5"/>
  <c r="AD114" i="5" s="1"/>
  <c r="AA114" i="5" s="1"/>
  <c r="Z114" i="5" s="1"/>
  <c r="AH82" i="5"/>
  <c r="U82" i="5"/>
  <c r="AD82" i="5" s="1"/>
  <c r="AA82" i="5" s="1"/>
  <c r="Z82" i="5" s="1"/>
  <c r="U296" i="5"/>
  <c r="AD296" i="5" s="1"/>
  <c r="AA296" i="5" s="1"/>
  <c r="Z296" i="5" s="1"/>
  <c r="U280" i="5"/>
  <c r="AD280" i="5" s="1"/>
  <c r="AA280" i="5" s="1"/>
  <c r="Z280" i="5" s="1"/>
  <c r="U264" i="5"/>
  <c r="AD264" i="5" s="1"/>
  <c r="AA264" i="5" s="1"/>
  <c r="Z264" i="5" s="1"/>
  <c r="U248" i="5"/>
  <c r="AD248" i="5" s="1"/>
  <c r="AA248" i="5" s="1"/>
  <c r="Z248" i="5" s="1"/>
  <c r="U232" i="5"/>
  <c r="AD232" i="5" s="1"/>
  <c r="AA232" i="5" s="1"/>
  <c r="Z232" i="5" s="1"/>
  <c r="U216" i="5"/>
  <c r="AD216" i="5" s="1"/>
  <c r="AA216" i="5" s="1"/>
  <c r="Z216" i="5" s="1"/>
  <c r="U200" i="5"/>
  <c r="AD200" i="5" s="1"/>
  <c r="AA200" i="5" s="1"/>
  <c r="Z200" i="5" s="1"/>
  <c r="U184" i="5"/>
  <c r="AD184" i="5" s="1"/>
  <c r="AA184" i="5" s="1"/>
  <c r="Z184" i="5" s="1"/>
  <c r="U168" i="5"/>
  <c r="AD168" i="5" s="1"/>
  <c r="AA168" i="5" s="1"/>
  <c r="Z168" i="5" s="1"/>
  <c r="U152" i="5"/>
  <c r="AD152" i="5" s="1"/>
  <c r="AA152" i="5" s="1"/>
  <c r="Z152" i="5" s="1"/>
  <c r="U136" i="5"/>
  <c r="AD136" i="5" s="1"/>
  <c r="AA136" i="5" s="1"/>
  <c r="Z136" i="5" s="1"/>
  <c r="U120" i="5"/>
  <c r="AD120" i="5" s="1"/>
  <c r="AA120" i="5" s="1"/>
  <c r="Z120" i="5" s="1"/>
  <c r="U104" i="5"/>
  <c r="AD104" i="5" s="1"/>
  <c r="AA104" i="5" s="1"/>
  <c r="Z104" i="5" s="1"/>
  <c r="U88" i="5"/>
  <c r="AD88" i="5" s="1"/>
  <c r="AA88" i="5" s="1"/>
  <c r="Z88" i="5" s="1"/>
  <c r="U72" i="5"/>
  <c r="AD72" i="5" s="1"/>
  <c r="AA72" i="5" s="1"/>
  <c r="Z72" i="5" s="1"/>
  <c r="U56" i="5"/>
  <c r="AD56" i="5" s="1"/>
  <c r="AA56" i="5" s="1"/>
  <c r="Z56" i="5" s="1"/>
  <c r="U40" i="5"/>
  <c r="AD40" i="5" s="1"/>
  <c r="AA40" i="5" s="1"/>
  <c r="Z40" i="5" s="1"/>
  <c r="U24" i="5"/>
  <c r="U301" i="5"/>
  <c r="AD301" i="5" s="1"/>
  <c r="AA301" i="5" s="1"/>
  <c r="Z301" i="5" s="1"/>
  <c r="U293" i="5"/>
  <c r="AD293" i="5" s="1"/>
  <c r="AA293" i="5" s="1"/>
  <c r="Z293" i="5" s="1"/>
  <c r="U285" i="5"/>
  <c r="AD285" i="5" s="1"/>
  <c r="AA285" i="5" s="1"/>
  <c r="Z285" i="5" s="1"/>
  <c r="U277" i="5"/>
  <c r="AD277" i="5" s="1"/>
  <c r="AA277" i="5" s="1"/>
  <c r="Z277" i="5" s="1"/>
  <c r="U269" i="5"/>
  <c r="AD269" i="5" s="1"/>
  <c r="AA269" i="5" s="1"/>
  <c r="Z269" i="5" s="1"/>
  <c r="U261" i="5"/>
  <c r="AD261" i="5" s="1"/>
  <c r="AA261" i="5" s="1"/>
  <c r="Z261" i="5" s="1"/>
  <c r="U253" i="5"/>
  <c r="AD253" i="5" s="1"/>
  <c r="AA253" i="5" s="1"/>
  <c r="Z253" i="5" s="1"/>
  <c r="U245" i="5"/>
  <c r="AD245" i="5" s="1"/>
  <c r="AA245" i="5" s="1"/>
  <c r="Z245" i="5" s="1"/>
  <c r="U237" i="5"/>
  <c r="AD237" i="5" s="1"/>
  <c r="AA237" i="5" s="1"/>
  <c r="Z237" i="5" s="1"/>
  <c r="U229" i="5"/>
  <c r="AD229" i="5" s="1"/>
  <c r="AA229" i="5" s="1"/>
  <c r="Z229" i="5" s="1"/>
  <c r="U221" i="5"/>
  <c r="AD221" i="5" s="1"/>
  <c r="AA221" i="5" s="1"/>
  <c r="Z221" i="5" s="1"/>
  <c r="U213" i="5"/>
  <c r="AD213" i="5" s="1"/>
  <c r="AA213" i="5" s="1"/>
  <c r="Z213" i="5" s="1"/>
  <c r="U205" i="5"/>
  <c r="AD205" i="5" s="1"/>
  <c r="AA205" i="5" s="1"/>
  <c r="Z205" i="5" s="1"/>
  <c r="U197" i="5"/>
  <c r="AD197" i="5" s="1"/>
  <c r="AA197" i="5" s="1"/>
  <c r="Z197" i="5" s="1"/>
  <c r="U189" i="5"/>
  <c r="AD189" i="5" s="1"/>
  <c r="AA189" i="5" s="1"/>
  <c r="Z189" i="5" s="1"/>
  <c r="U181" i="5"/>
  <c r="AD181" i="5" s="1"/>
  <c r="AA181" i="5" s="1"/>
  <c r="Z181" i="5" s="1"/>
  <c r="U173" i="5"/>
  <c r="AD173" i="5" s="1"/>
  <c r="AA173" i="5" s="1"/>
  <c r="Z173" i="5" s="1"/>
  <c r="U165" i="5"/>
  <c r="AD165" i="5" s="1"/>
  <c r="AA165" i="5" s="1"/>
  <c r="Z165" i="5" s="1"/>
  <c r="U157" i="5"/>
  <c r="AD157" i="5" s="1"/>
  <c r="AA157" i="5" s="1"/>
  <c r="Z157" i="5" s="1"/>
  <c r="U149" i="5"/>
  <c r="AD149" i="5" s="1"/>
  <c r="AA149" i="5" s="1"/>
  <c r="Z149" i="5" s="1"/>
  <c r="U141" i="5"/>
  <c r="AD141" i="5" s="1"/>
  <c r="AA141" i="5" s="1"/>
  <c r="Z141" i="5" s="1"/>
  <c r="U133" i="5"/>
  <c r="AD133" i="5" s="1"/>
  <c r="AA133" i="5" s="1"/>
  <c r="Z133" i="5" s="1"/>
  <c r="U125" i="5"/>
  <c r="AD125" i="5" s="1"/>
  <c r="AA125" i="5" s="1"/>
  <c r="Z125" i="5" s="1"/>
  <c r="U117" i="5"/>
  <c r="AD117" i="5" s="1"/>
  <c r="AA117" i="5" s="1"/>
  <c r="Z117" i="5" s="1"/>
  <c r="U109" i="5"/>
  <c r="AD109" i="5" s="1"/>
  <c r="AA109" i="5" s="1"/>
  <c r="Z109" i="5" s="1"/>
  <c r="U101" i="5"/>
  <c r="AD101" i="5" s="1"/>
  <c r="AA101" i="5" s="1"/>
  <c r="Z101" i="5" s="1"/>
  <c r="U93" i="5"/>
  <c r="AD93" i="5" s="1"/>
  <c r="AA93" i="5" s="1"/>
  <c r="Z93" i="5" s="1"/>
  <c r="U85" i="5"/>
  <c r="AD85" i="5" s="1"/>
  <c r="AA85" i="5" s="1"/>
  <c r="Z85" i="5" s="1"/>
  <c r="U77" i="5"/>
  <c r="AD77" i="5" s="1"/>
  <c r="AA77" i="5" s="1"/>
  <c r="Z77" i="5" s="1"/>
  <c r="U69" i="5"/>
  <c r="AD69" i="5" s="1"/>
  <c r="AA69" i="5" s="1"/>
  <c r="Z69" i="5" s="1"/>
  <c r="U61" i="5"/>
  <c r="AD61" i="5" s="1"/>
  <c r="AA61" i="5" s="1"/>
  <c r="Z61" i="5" s="1"/>
  <c r="U53" i="5"/>
  <c r="AD53" i="5" s="1"/>
  <c r="AA53" i="5" s="1"/>
  <c r="Z53" i="5" s="1"/>
  <c r="U45" i="5"/>
  <c r="AD45" i="5" s="1"/>
  <c r="AA45" i="5" s="1"/>
  <c r="Z45" i="5" s="1"/>
  <c r="U37" i="5"/>
  <c r="AD37" i="5" s="1"/>
  <c r="AA37" i="5" s="1"/>
  <c r="Z37" i="5" s="1"/>
  <c r="U29" i="5"/>
  <c r="AD29" i="5" s="1"/>
  <c r="AA29" i="5" s="1"/>
  <c r="Z29" i="5" s="1"/>
  <c r="U297" i="5"/>
  <c r="AD297" i="5" s="1"/>
  <c r="AA297" i="5" s="1"/>
  <c r="Z297" i="5" s="1"/>
  <c r="U289" i="5"/>
  <c r="AD289" i="5" s="1"/>
  <c r="AA289" i="5" s="1"/>
  <c r="Z289" i="5" s="1"/>
  <c r="U281" i="5"/>
  <c r="AD281" i="5" s="1"/>
  <c r="AA281" i="5" s="1"/>
  <c r="Z281" i="5" s="1"/>
  <c r="U273" i="5"/>
  <c r="AD273" i="5" s="1"/>
  <c r="AA273" i="5" s="1"/>
  <c r="Z273" i="5" s="1"/>
  <c r="U265" i="5"/>
  <c r="AD265" i="5" s="1"/>
  <c r="AA265" i="5" s="1"/>
  <c r="Z265" i="5" s="1"/>
  <c r="U257" i="5"/>
  <c r="AD257" i="5" s="1"/>
  <c r="AA257" i="5" s="1"/>
  <c r="Z257" i="5" s="1"/>
  <c r="U249" i="5"/>
  <c r="AD249" i="5" s="1"/>
  <c r="AA249" i="5" s="1"/>
  <c r="Z249" i="5" s="1"/>
  <c r="U241" i="5"/>
  <c r="AD241" i="5" s="1"/>
  <c r="AA241" i="5" s="1"/>
  <c r="Z241" i="5" s="1"/>
  <c r="U233" i="5"/>
  <c r="AD233" i="5" s="1"/>
  <c r="AA233" i="5" s="1"/>
  <c r="Z233" i="5" s="1"/>
  <c r="U225" i="5"/>
  <c r="AD225" i="5" s="1"/>
  <c r="AA225" i="5" s="1"/>
  <c r="Z225" i="5" s="1"/>
  <c r="U217" i="5"/>
  <c r="AD217" i="5" s="1"/>
  <c r="AA217" i="5" s="1"/>
  <c r="Z217" i="5" s="1"/>
  <c r="U209" i="5"/>
  <c r="AD209" i="5" s="1"/>
  <c r="AA209" i="5" s="1"/>
  <c r="Z209" i="5" s="1"/>
  <c r="U201" i="5"/>
  <c r="AD201" i="5" s="1"/>
  <c r="AA201" i="5" s="1"/>
  <c r="Z201" i="5" s="1"/>
  <c r="U193" i="5"/>
  <c r="AD193" i="5" s="1"/>
  <c r="AA193" i="5" s="1"/>
  <c r="Z193" i="5" s="1"/>
  <c r="U185" i="5"/>
  <c r="AD185" i="5" s="1"/>
  <c r="AA185" i="5" s="1"/>
  <c r="Z185" i="5" s="1"/>
  <c r="U177" i="5"/>
  <c r="AD177" i="5" s="1"/>
  <c r="AA177" i="5" s="1"/>
  <c r="Z177" i="5" s="1"/>
  <c r="U169" i="5"/>
  <c r="AD169" i="5" s="1"/>
  <c r="AA169" i="5" s="1"/>
  <c r="Z169" i="5" s="1"/>
  <c r="U161" i="5"/>
  <c r="AD161" i="5" s="1"/>
  <c r="AA161" i="5" s="1"/>
  <c r="Z161" i="5" s="1"/>
  <c r="U153" i="5"/>
  <c r="AD153" i="5" s="1"/>
  <c r="AA153" i="5" s="1"/>
  <c r="Z153" i="5" s="1"/>
  <c r="U145" i="5"/>
  <c r="AD145" i="5" s="1"/>
  <c r="AA145" i="5" s="1"/>
  <c r="Z145" i="5" s="1"/>
  <c r="U137" i="5"/>
  <c r="AD137" i="5" s="1"/>
  <c r="AA137" i="5" s="1"/>
  <c r="Z137" i="5" s="1"/>
  <c r="U129" i="5"/>
  <c r="AD129" i="5" s="1"/>
  <c r="AA129" i="5" s="1"/>
  <c r="Z129" i="5" s="1"/>
  <c r="U121" i="5"/>
  <c r="AD121" i="5" s="1"/>
  <c r="AA121" i="5" s="1"/>
  <c r="Z121" i="5" s="1"/>
  <c r="U113" i="5"/>
  <c r="AD113" i="5" s="1"/>
  <c r="AA113" i="5" s="1"/>
  <c r="Z113" i="5" s="1"/>
  <c r="U105" i="5"/>
  <c r="AD105" i="5" s="1"/>
  <c r="AA105" i="5" s="1"/>
  <c r="Z105" i="5" s="1"/>
  <c r="U97" i="5"/>
  <c r="AD97" i="5" s="1"/>
  <c r="AA97" i="5" s="1"/>
  <c r="Z97" i="5" s="1"/>
  <c r="U89" i="5"/>
  <c r="AD89" i="5" s="1"/>
  <c r="AA89" i="5" s="1"/>
  <c r="Z89" i="5" s="1"/>
  <c r="U81" i="5"/>
  <c r="AD81" i="5" s="1"/>
  <c r="AA81" i="5" s="1"/>
  <c r="Z81" i="5" s="1"/>
  <c r="U73" i="5"/>
  <c r="AD73" i="5" s="1"/>
  <c r="AA73" i="5" s="1"/>
  <c r="Z73" i="5" s="1"/>
  <c r="U65" i="5"/>
  <c r="AD65" i="5" s="1"/>
  <c r="AA65" i="5" s="1"/>
  <c r="Z65" i="5" s="1"/>
  <c r="U57" i="5"/>
  <c r="AD57" i="5" s="1"/>
  <c r="AA57" i="5" s="1"/>
  <c r="Z57" i="5" s="1"/>
  <c r="U49" i="5"/>
  <c r="AD49" i="5" s="1"/>
  <c r="AA49" i="5" s="1"/>
  <c r="Z49" i="5" s="1"/>
  <c r="U41" i="5"/>
  <c r="AD41" i="5" s="1"/>
  <c r="AA41" i="5" s="1"/>
  <c r="Z41" i="5" s="1"/>
  <c r="U33" i="5"/>
  <c r="AD33" i="5" s="1"/>
  <c r="AA33" i="5" s="1"/>
  <c r="Z33" i="5" s="1"/>
  <c r="U25" i="5"/>
  <c r="X13" i="5"/>
  <c r="AD14" i="5"/>
  <c r="AA14" i="5" s="1"/>
  <c r="Z14" i="5" s="1"/>
  <c r="P13" i="5"/>
  <c r="X6" i="5"/>
  <c r="X5" i="5"/>
  <c r="X4" i="5"/>
  <c r="X3"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235" i="5"/>
  <c r="V236" i="5"/>
  <c r="V237" i="5"/>
  <c r="V238" i="5"/>
  <c r="V239" i="5"/>
  <c r="V240" i="5"/>
  <c r="V241" i="5"/>
  <c r="V242" i="5"/>
  <c r="V243" i="5"/>
  <c r="V244" i="5"/>
  <c r="V245" i="5"/>
  <c r="V246" i="5"/>
  <c r="V247" i="5"/>
  <c r="V248" i="5"/>
  <c r="V249" i="5"/>
  <c r="V250" i="5"/>
  <c r="V251" i="5"/>
  <c r="V252" i="5"/>
  <c r="V253" i="5"/>
  <c r="V254" i="5"/>
  <c r="V255" i="5"/>
  <c r="V256" i="5"/>
  <c r="V257" i="5"/>
  <c r="V258" i="5"/>
  <c r="V259" i="5"/>
  <c r="V260" i="5"/>
  <c r="V261" i="5"/>
  <c r="V262" i="5"/>
  <c r="V263" i="5"/>
  <c r="V264" i="5"/>
  <c r="V265" i="5"/>
  <c r="V266" i="5"/>
  <c r="V267" i="5"/>
  <c r="V268" i="5"/>
  <c r="V269" i="5"/>
  <c r="V270" i="5"/>
  <c r="V271" i="5"/>
  <c r="V272" i="5"/>
  <c r="V273" i="5"/>
  <c r="V274" i="5"/>
  <c r="V275" i="5"/>
  <c r="V276" i="5"/>
  <c r="V277" i="5"/>
  <c r="V278" i="5"/>
  <c r="V279" i="5"/>
  <c r="V280" i="5"/>
  <c r="V281" i="5"/>
  <c r="V282" i="5"/>
  <c r="V283" i="5"/>
  <c r="V284" i="5"/>
  <c r="V285" i="5"/>
  <c r="V286" i="5"/>
  <c r="V287" i="5"/>
  <c r="V288" i="5"/>
  <c r="V289" i="5"/>
  <c r="V290" i="5"/>
  <c r="V291" i="5"/>
  <c r="V292" i="5"/>
  <c r="V293" i="5"/>
  <c r="V294" i="5"/>
  <c r="V295" i="5"/>
  <c r="V296" i="5"/>
  <c r="V297" i="5"/>
  <c r="V298" i="5"/>
  <c r="V299" i="5"/>
  <c r="V300" i="5"/>
  <c r="V301" i="5"/>
  <c r="V302" i="5"/>
  <c r="V303" i="5"/>
  <c r="N3" i="5"/>
  <c r="N4" i="5"/>
  <c r="N5" i="5"/>
  <c r="N6"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H18" i="5"/>
  <c r="H19" i="5"/>
  <c r="H20" i="5"/>
  <c r="H21" i="5"/>
  <c r="H22" i="5"/>
  <c r="H23" i="5"/>
  <c r="H24" i="5"/>
  <c r="H25" i="5"/>
  <c r="H26" i="5"/>
  <c r="H27" i="5"/>
  <c r="H28" i="5"/>
  <c r="H29" i="5"/>
  <c r="H30" i="5"/>
  <c r="H31" i="5"/>
  <c r="H32" i="5"/>
  <c r="AA51" i="5" l="1"/>
  <c r="Z51" i="5" s="1"/>
  <c r="AA115" i="5"/>
  <c r="Z115" i="5" s="1"/>
  <c r="AA171" i="5"/>
  <c r="Z171" i="5" s="1"/>
  <c r="AA235" i="5"/>
  <c r="Z235" i="5" s="1"/>
  <c r="AA291" i="5"/>
  <c r="Z291" i="5" s="1"/>
  <c r="AA83" i="5"/>
  <c r="Z83" i="5" s="1"/>
  <c r="AA139" i="5"/>
  <c r="Z139" i="5" s="1"/>
  <c r="AA203" i="5"/>
  <c r="Z203" i="5" s="1"/>
  <c r="AA259" i="5"/>
  <c r="Z259" i="5" s="1"/>
  <c r="AA162" i="5"/>
  <c r="Z162" i="5" s="1"/>
  <c r="AA250" i="5"/>
  <c r="Z250" i="5" s="1"/>
  <c r="AA43" i="5"/>
  <c r="Z43" i="5" s="1"/>
  <c r="AA107" i="5"/>
  <c r="Z107" i="5" s="1"/>
  <c r="AA179" i="5"/>
  <c r="Z179" i="5" s="1"/>
  <c r="AA251" i="5"/>
  <c r="Z251" i="5" s="1"/>
  <c r="AA35" i="5"/>
  <c r="Z35" i="5" s="1"/>
  <c r="AA67" i="5"/>
  <c r="Z67" i="5" s="1"/>
  <c r="AA99" i="5"/>
  <c r="Z99" i="5" s="1"/>
  <c r="AA131" i="5"/>
  <c r="Z131" i="5" s="1"/>
  <c r="AA155" i="5"/>
  <c r="Z155" i="5" s="1"/>
  <c r="AA187" i="5"/>
  <c r="Z187" i="5" s="1"/>
  <c r="AA219" i="5"/>
  <c r="Z219" i="5" s="1"/>
  <c r="AA243" i="5"/>
  <c r="Z243" i="5" s="1"/>
  <c r="AA275" i="5"/>
  <c r="Z275" i="5" s="1"/>
  <c r="AD18" i="5"/>
  <c r="AA18" i="5" s="1"/>
  <c r="Z18" i="5" s="1"/>
  <c r="AD27" i="5"/>
  <c r="AA27" i="5" s="1"/>
  <c r="Z27" i="5" s="1"/>
  <c r="AD20" i="5"/>
  <c r="AA20" i="5" s="1"/>
  <c r="Z20" i="5" s="1"/>
  <c r="AD25" i="5"/>
  <c r="AA25" i="5" s="1"/>
  <c r="Z25" i="5" s="1"/>
  <c r="AD22" i="5"/>
  <c r="AA22" i="5" s="1"/>
  <c r="Z22" i="5" s="1"/>
  <c r="AD21" i="5"/>
  <c r="AA21" i="5" s="1"/>
  <c r="Z21" i="5" s="1"/>
  <c r="AD26" i="5"/>
  <c r="AD16" i="5"/>
  <c r="AA16" i="5" s="1"/>
  <c r="Z16" i="5" s="1"/>
  <c r="AD15" i="5"/>
  <c r="AA15" i="5" s="1"/>
  <c r="Z15" i="5" s="1"/>
  <c r="AD23" i="5"/>
  <c r="AD17" i="5"/>
  <c r="AD24" i="5"/>
  <c r="AA24" i="5" s="1"/>
  <c r="Z24" i="5" s="1"/>
  <c r="AD19" i="5"/>
  <c r="AA19" i="5" s="1"/>
  <c r="Z19" i="5" s="1"/>
  <c r="U13" i="5"/>
  <c r="AA26" i="5" l="1"/>
  <c r="Z26" i="5" s="1"/>
  <c r="AA23" i="5"/>
  <c r="Z23" i="5" s="1"/>
  <c r="AA17" i="5"/>
  <c r="Z17" i="5" s="1"/>
  <c r="Z13" i="5" l="1"/>
  <c r="C9" i="4" s="1"/>
  <c r="C12" i="4" s="1"/>
  <c r="C20" i="4" l="1"/>
  <c r="C17" i="4"/>
  <c r="C16" i="4"/>
  <c r="C1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2" authorId="0" shapeId="0" xr:uid="{00000000-0006-0000-0100-000001000000}">
      <text>
        <r>
          <rPr>
            <b/>
            <sz val="9"/>
            <color indexed="81"/>
            <rFont val="Tahoma"/>
            <family val="2"/>
          </rPr>
          <t>Fill this section in only once - it will carry forward.</t>
        </r>
      </text>
    </comment>
    <comment ref="B11" authorId="0" shapeId="0" xr:uid="{00000000-0006-0000-0100-000002000000}">
      <text>
        <r>
          <rPr>
            <b/>
            <sz val="9"/>
            <color indexed="81"/>
            <rFont val="Tahoma"/>
            <family val="2"/>
          </rPr>
          <t>Input the Route number as assigned by the district.  (Limit to six characters.)</t>
        </r>
        <r>
          <rPr>
            <sz val="9"/>
            <color indexed="81"/>
            <rFont val="Tahoma"/>
            <family val="2"/>
          </rPr>
          <t xml:space="preserve">
</t>
        </r>
      </text>
    </comment>
    <comment ref="C11" authorId="0" shapeId="0" xr:uid="{00000000-0006-0000-0100-000003000000}">
      <text>
        <r>
          <rPr>
            <b/>
            <sz val="9"/>
            <color indexed="81"/>
            <rFont val="Tahoma"/>
            <family val="2"/>
          </rPr>
          <t>This is the % of the route that this le is responsible for.  As reported on the TR-1.</t>
        </r>
      </text>
    </comment>
    <comment ref="D11" authorId="0" shapeId="0" xr:uid="{00000000-0006-0000-0100-000004000000}">
      <text>
        <r>
          <rPr>
            <b/>
            <sz val="9"/>
            <color indexed="81"/>
            <rFont val="Tahoma"/>
            <family val="2"/>
          </rPr>
          <t>Route mileage as approved by County Transportation Committee</t>
        </r>
      </text>
    </comment>
    <comment ref="E11" authorId="0" shapeId="0" xr:uid="{00000000-0006-0000-0100-000005000000}">
      <text>
        <r>
          <rPr>
            <b/>
            <sz val="9"/>
            <color indexed="81"/>
            <rFont val="Tahoma"/>
            <family val="2"/>
          </rPr>
          <t>Enter number of NON BUS miles. Be sure to include this as a separate TR-1.</t>
        </r>
      </text>
    </comment>
    <comment ref="F11" authorId="0" shapeId="0" xr:uid="{00000000-0006-0000-0100-000006000000}">
      <text>
        <r>
          <rPr>
            <b/>
            <sz val="9"/>
            <color indexed="81"/>
            <rFont val="Tahoma"/>
            <family val="2"/>
          </rPr>
          <t>Number of days this route will run for the school year.</t>
        </r>
      </text>
    </comment>
    <comment ref="H11" authorId="0" shapeId="0" xr:uid="{00000000-0006-0000-0100-000007000000}">
      <text>
        <r>
          <rPr>
            <b/>
            <sz val="9"/>
            <color indexed="81"/>
            <rFont val="Tahoma"/>
            <family val="2"/>
          </rPr>
          <t>Last five digits of the School Bus's Vehicle ID number.</t>
        </r>
      </text>
    </comment>
    <comment ref="I11" authorId="0" shapeId="0" xr:uid="{00000000-0006-0000-0100-000008000000}">
      <text>
        <r>
          <rPr>
            <b/>
            <sz val="9"/>
            <color indexed="81"/>
            <rFont val="Tahoma"/>
            <family val="2"/>
          </rPr>
          <t>Numbers to the right of the hyphen only, if less than 4 - O.K.</t>
        </r>
      </text>
    </comment>
    <comment ref="J11" authorId="0" shapeId="0" xr:uid="{00000000-0006-0000-0100-000009000000}">
      <text>
        <r>
          <rPr>
            <b/>
            <sz val="9"/>
            <color indexed="81"/>
            <rFont val="Tahoma"/>
            <family val="2"/>
          </rPr>
          <t>Original Rated Capacity of the bus.</t>
        </r>
      </text>
    </comment>
    <comment ref="L11" authorId="0" shapeId="0" xr:uid="{00000000-0006-0000-0100-00000A000000}">
      <text>
        <r>
          <rPr>
            <b/>
            <sz val="9"/>
            <color indexed="81"/>
            <rFont val="Tahoma"/>
            <family val="2"/>
          </rPr>
          <t>Total number of students in wheelchairs</t>
        </r>
      </text>
    </comment>
    <comment ref="M11" authorId="0" shapeId="0" xr:uid="{00000000-0006-0000-0100-00000B000000}">
      <text>
        <r>
          <rPr>
            <b/>
            <sz val="9"/>
            <color indexed="81"/>
            <rFont val="Tahoma"/>
            <family val="2"/>
          </rPr>
          <t>Total number of non-wheelchair special needs students with an IEP</t>
        </r>
      </text>
    </comment>
    <comment ref="N11" authorId="0" shapeId="0" xr:uid="{00000000-0006-0000-0100-00000C000000}">
      <text>
        <r>
          <rPr>
            <b/>
            <sz val="9"/>
            <color indexed="81"/>
            <rFont val="Tahoma"/>
            <family val="2"/>
          </rPr>
          <t xml:space="preserve">Total eligible elementary students (includes eligible K &amp; Pre-K (with IEP))
</t>
        </r>
      </text>
    </comment>
    <comment ref="O11" authorId="0" shapeId="0" xr:uid="{00000000-0006-0000-0100-00000D000000}">
      <text>
        <r>
          <rPr>
            <b/>
            <sz val="9"/>
            <color indexed="81"/>
            <rFont val="Tahoma"/>
            <family val="2"/>
          </rPr>
          <t>Total number of eligible high school students</t>
        </r>
      </text>
    </comment>
    <comment ref="Q11" authorId="0" shapeId="0" xr:uid="{00000000-0006-0000-0100-00000E000000}">
      <text>
        <r>
          <rPr>
            <b/>
            <sz val="9"/>
            <color indexed="81"/>
            <rFont val="Tahoma"/>
            <family val="2"/>
          </rPr>
          <t>Public elementary students who live within the 3 mile limit or who live in another district without benefit of a signed agreement between districts.</t>
        </r>
      </text>
    </comment>
    <comment ref="R11" authorId="0" shapeId="0" xr:uid="{00000000-0006-0000-0100-00000F000000}">
      <text>
        <r>
          <rPr>
            <b/>
            <sz val="9"/>
            <color indexed="81"/>
            <rFont val="Tahoma"/>
            <family val="2"/>
          </rPr>
          <t>Students who attend private or other non-public schools</t>
        </r>
      </text>
    </comment>
    <comment ref="S11" authorId="0" shapeId="0" xr:uid="{00000000-0006-0000-0100-000010000000}">
      <text>
        <r>
          <rPr>
            <b/>
            <sz val="9"/>
            <color indexed="81"/>
            <rFont val="Tahoma"/>
            <family val="2"/>
          </rPr>
          <t>Public high school students who live within the 3 mile limit or who live in another district without benefit of a signed agreement between districts.</t>
        </r>
      </text>
    </comment>
    <comment ref="T11" authorId="0" shapeId="0" xr:uid="{00000000-0006-0000-0100-000011000000}">
      <text>
        <r>
          <rPr>
            <b/>
            <sz val="9"/>
            <color indexed="81"/>
            <rFont val="Tahoma"/>
            <family val="2"/>
          </rPr>
          <t xml:space="preserve">Students who attend private or other non-public schools
</t>
        </r>
      </text>
    </comment>
    <comment ref="X11" authorId="0" shapeId="0" xr:uid="{00000000-0006-0000-0100-000012000000}">
      <text>
        <r>
          <rPr>
            <b/>
            <sz val="9"/>
            <color indexed="81"/>
            <rFont val="Tahoma"/>
            <family val="2"/>
          </rPr>
          <t>Total number of miles traveled on this route per day. Does not account for the 3 mile limit.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10" authorId="0" shapeId="0" xr:uid="{00000000-0006-0000-0200-000001000000}">
      <text>
        <r>
          <rPr>
            <b/>
            <sz val="9"/>
            <color indexed="81"/>
            <rFont val="Tahoma"/>
            <family val="2"/>
          </rPr>
          <t>Total number of students in the vehicle. Enter Mid-day trips for kindergerten students as a  separate contract.</t>
        </r>
      </text>
    </comment>
    <comment ref="E10" authorId="0" shapeId="0" xr:uid="{00000000-0006-0000-0200-000002000000}">
      <text>
        <r>
          <rPr>
            <b/>
            <sz val="9"/>
            <color indexed="81"/>
            <rFont val="Tahoma"/>
            <family val="2"/>
          </rPr>
          <t>Excess distance or impassable roads. Increases rate by 1.5. Must be approved by County &amp; District.</t>
        </r>
      </text>
    </comment>
    <comment ref="F10" authorId="0" shapeId="0" xr:uid="{00000000-0006-0000-0200-000003000000}">
      <text>
        <r>
          <rPr>
            <b/>
            <sz val="9"/>
            <color indexed="81"/>
            <rFont val="Tahoma"/>
            <family val="2"/>
          </rPr>
          <t xml:space="preserve">Rate is $12.95 for first student - $8.40 for each after that.
</t>
        </r>
      </text>
    </comment>
    <comment ref="G10" authorId="0" shapeId="0" xr:uid="{00000000-0006-0000-0200-000004000000}">
      <text>
        <r>
          <rPr>
            <b/>
            <sz val="9"/>
            <color indexed="81"/>
            <rFont val="Tahoma"/>
            <family val="2"/>
          </rPr>
          <t>Funds are shared equally between two districts, I.e., an elementary and high school located within 3 miles of each other.</t>
        </r>
      </text>
    </comment>
    <comment ref="I10" authorId="0" shapeId="0" xr:uid="{00000000-0006-0000-0200-000005000000}">
      <text>
        <r>
          <rPr>
            <b/>
            <sz val="9"/>
            <color indexed="81"/>
            <rFont val="Tahoma"/>
            <family val="2"/>
          </rPr>
          <t>Maximum paid per year is 180 days. Students have to actually be transported.</t>
        </r>
      </text>
    </comment>
    <comment ref="L10" authorId="0" shapeId="0" xr:uid="{00000000-0006-0000-0200-000006000000}">
      <text>
        <r>
          <rPr>
            <b/>
            <sz val="9"/>
            <color indexed="81"/>
            <rFont val="Tahoma"/>
            <family val="2"/>
          </rPr>
          <t>Examples:
To school in the morning is a 1 way trip, home in the afternoon is a 1 way trip, a kindergarten student ride home mid day is a 1 way trip. Possible answers are 1, 2, or 3.</t>
        </r>
      </text>
    </comment>
    <comment ref="M10" authorId="0" shapeId="0" xr:uid="{00000000-0006-0000-0200-000007000000}">
      <text>
        <r>
          <rPr>
            <b/>
            <sz val="9"/>
            <color indexed="81"/>
            <rFont val="Tahoma"/>
            <family val="2"/>
          </rPr>
          <t>Examples:
To school in the morning is a 1 way trip, home in the afternoon is a 1 way trip, a kindergarten student ride home mid day is a 1 way trip. Possible answers are 1, 2, or 3.</t>
        </r>
      </text>
    </comment>
  </commentList>
</comments>
</file>

<file path=xl/sharedStrings.xml><?xml version="1.0" encoding="utf-8"?>
<sst xmlns="http://schemas.openxmlformats.org/spreadsheetml/2006/main" count="1341" uniqueCount="598">
  <si>
    <t>TRANSPORTATION BUDGET WORKSHEET</t>
  </si>
  <si>
    <t>USE TO ESTIMATE ON-SCHEDULE REIMBURSEMENT FOR PUPIL TRANSPORTATION</t>
  </si>
  <si>
    <t>To Enter Bus Route Information:</t>
  </si>
  <si>
    <t>Fill all cells colored light blue</t>
  </si>
  <si>
    <t>Green cells are optional for you to fill</t>
  </si>
  <si>
    <t>Yellow cells are Locked/Calculated cells</t>
  </si>
  <si>
    <t>Pick the TAB at the bottom that says:  Bus Routes.</t>
  </si>
  <si>
    <t>Enter the information that is necessary:</t>
  </si>
  <si>
    <t xml:space="preserve">     --  On the Bus Routes page check the comment boxes marked by red tag for handy hints on data requirements.</t>
  </si>
  <si>
    <t xml:space="preserve">     --  Start with the "Route Number" at the left of the page.  Enter the Route Number assigned by the school (limit to six characters).</t>
  </si>
  <si>
    <t xml:space="preserve">     --  Work across the sheet to the right.  Enter the information as prompted by each column heading.</t>
  </si>
  <si>
    <t xml:space="preserve">     --  Notice for "Number of Riders" you are prompted for all eligible transportee information, then </t>
  </si>
  <si>
    <t xml:space="preserve">     --  Kindergarten riders must be included in the eligible rider information and in the KINDER column.</t>
  </si>
  <si>
    <t>To Enter Individual Contracts: beginning July 1, 2006 ITC rate is .35 cents per mile (can only change during a legislative session)</t>
  </si>
  <si>
    <t>Pick the TAB that says: Indv Trans Contracts.</t>
  </si>
  <si>
    <t xml:space="preserve">     --  On the Individual Trans Contracts page, check the comment boxes marked by red tag for handy hints on data requirements.</t>
  </si>
  <si>
    <t>To View Estimated On-Schedule Reimbursements:</t>
  </si>
  <si>
    <t xml:space="preserve">Pick the TAB that says: On-Schedule.  It displays the total amount of your estimated on-schedule   </t>
  </si>
  <si>
    <t>reimbursement for the bus routes and individual contracts that you have entered.</t>
  </si>
  <si>
    <t>Students with an IEP:</t>
  </si>
  <si>
    <t xml:space="preserve">     -- You will notice an additional column has been added to the end of the page.  This column has been added to estimate </t>
  </si>
  <si>
    <t xml:space="preserve">                       You will enter the number of miles (non-bus miles = "N") in the rated capacity cell, number of days, bus ID information, etc.  </t>
  </si>
  <si>
    <t xml:space="preserve">                       You will notice that fields will automatically fill with information. </t>
  </si>
  <si>
    <t xml:space="preserve">                      The spreadsheet is protected so you can only put information in certain cells.  </t>
  </si>
  <si>
    <t xml:space="preserve">                      If you try to enter information in the wrong cell, you will get an error message.</t>
  </si>
  <si>
    <t xml:space="preserve">          ineligible transportee information.   The information does not affect the bus rate, however it is collected for reporting purposes. </t>
  </si>
  <si>
    <t xml:space="preserve">     --  Start at left with name of Parents/Guardians and work your way right, filling information in as requested by column headings.</t>
  </si>
  <si>
    <t xml:space="preserve">         the amount that will be used from your IDEA Funds.</t>
  </si>
  <si>
    <t xml:space="preserve">        OPI recommends you download the spreadsheet again to avoid errors.</t>
  </si>
  <si>
    <t xml:space="preserve">        Caution:  If you are not certain if this spreadsheet has been unprotected and altered, </t>
  </si>
  <si>
    <t>Rated Capacity</t>
  </si>
  <si>
    <t>Rate</t>
  </si>
  <si>
    <t>0-49</t>
  </si>
  <si>
    <t>50-59</t>
  </si>
  <si>
    <t>60-69</t>
  </si>
  <si>
    <t>70-79</t>
  </si>
  <si>
    <t>&gt;80</t>
  </si>
  <si>
    <t>NonBus</t>
  </si>
  <si>
    <t>Non Bus Miles Minimum</t>
  </si>
  <si>
    <t xml:space="preserve">Individual Contract </t>
  </si>
  <si>
    <t>Sched of Max Riem Rate</t>
  </si>
  <si>
    <t>1 rider</t>
  </si>
  <si>
    <t>2 or more riders</t>
  </si>
  <si>
    <t>Contract Riembursement</t>
  </si>
  <si>
    <t>Isolation Increase</t>
  </si>
  <si>
    <t>Miles No Reimbursement</t>
  </si>
  <si>
    <t>TRANSPORTATION BUDGET WORKSHEET BUS ROUTES - PAGE ONE</t>
  </si>
  <si>
    <t>TRANSPORTATION BUDGET WORKSHEET BUS ROUTES - PAGE TWO</t>
  </si>
  <si>
    <t>TRANSPORTATION BUDGET WORKSHEET BUS ROUTES - TOTALS</t>
  </si>
  <si>
    <t>SCHOOL YEAR:</t>
  </si>
  <si>
    <t/>
  </si>
  <si>
    <t>LEGAL ENTITY NAME:</t>
  </si>
  <si>
    <t>LEGAL ENTITY NUMBER:</t>
  </si>
  <si>
    <t xml:space="preserve">BUS </t>
  </si>
  <si>
    <t>REIMBURSEMENT</t>
  </si>
  <si>
    <t>MILES</t>
  </si>
  <si>
    <t>NUMBER OF</t>
  </si>
  <si>
    <t>Full</t>
  </si>
  <si>
    <t>Bus ID #</t>
  </si>
  <si>
    <t>BUS</t>
  </si>
  <si>
    <t xml:space="preserve">NUMBER OF </t>
  </si>
  <si>
    <t>NON WHEEL-</t>
  </si>
  <si>
    <t xml:space="preserve">ELIGIBLE </t>
  </si>
  <si>
    <t>ELIGIBLE</t>
  </si>
  <si>
    <t>TOTAL</t>
  </si>
  <si>
    <t>PUBLIC</t>
  </si>
  <si>
    <t>NON-</t>
  </si>
  <si>
    <t>RATE</t>
  </si>
  <si>
    <t>NUMBER</t>
  </si>
  <si>
    <t>TOTAL ESTIMATED</t>
  </si>
  <si>
    <t>ROUTE</t>
  </si>
  <si>
    <t>PERCENT</t>
  </si>
  <si>
    <t xml:space="preserve">PER </t>
  </si>
  <si>
    <t>OPERATING</t>
  </si>
  <si>
    <t>Prefills</t>
  </si>
  <si>
    <t>LICENSE</t>
  </si>
  <si>
    <t>RATED</t>
  </si>
  <si>
    <t>WHEELCHAIR</t>
  </si>
  <si>
    <t>ELEM</t>
  </si>
  <si>
    <t>HIGH SCHOOL</t>
  </si>
  <si>
    <t>SCHOOL</t>
  </si>
  <si>
    <t>ALL</t>
  </si>
  <si>
    <t>PER</t>
  </si>
  <si>
    <t>DAYS</t>
  </si>
  <si>
    <t>ROUTE REIMBURSEMENT</t>
  </si>
  <si>
    <t>FOR THIS LE</t>
  </si>
  <si>
    <t>DAY</t>
  </si>
  <si>
    <t>DAYS (180 MAX)</t>
  </si>
  <si>
    <t xml:space="preserve">if you </t>
  </si>
  <si>
    <t>CAPACITY</t>
  </si>
  <si>
    <t>RIDERS</t>
  </si>
  <si>
    <t>RIDERSHIP</t>
  </si>
  <si>
    <t xml:space="preserve">H. S. </t>
  </si>
  <si>
    <t>H.S.</t>
  </si>
  <si>
    <t>MILE</t>
  </si>
  <si>
    <t>OPERATED</t>
  </si>
  <si>
    <t>separate TR-1</t>
  </si>
  <si>
    <t>fill VIN</t>
  </si>
  <si>
    <t>TOTALS: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</si>
  <si>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</si>
  <si>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</si>
  <si>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</si>
  <si>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</si>
  <si>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</si>
  <si>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</si>
  <si>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</si>
  <si>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</si>
  <si>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</si>
  <si>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</si>
  <si>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</si>
  <si>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</si>
  <si>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</si>
  <si>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</si>
  <si>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</si>
  <si>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</si>
  <si>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</si>
  <si>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</si>
  <si>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</si>
  <si>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</si>
  <si>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</si>
  <si>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</si>
  <si>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</si>
  <si>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</si>
  <si>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</si>
  <si>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</si>
  <si>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</si>
  <si>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</si>
  <si>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</si>
  <si>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</si>
  <si>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</si>
  <si>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</si>
  <si>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</si>
  <si>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</si>
  <si>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</si>
  <si>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</si>
  <si>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</si>
  <si>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</si>
  <si>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</si>
  <si>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</si>
  <si>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</si>
  <si>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</si>
  <si>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</si>
  <si>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</si>
  <si>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</si>
  <si>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</si>
  <si>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</si>
  <si>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</si>
  <si>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</si>
  <si>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</si>
  <si>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</si>
  <si>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</si>
  <si>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</si>
  <si>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</si>
  <si>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</si>
  <si>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</si>
  <si>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</si>
  <si>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</si>
  <si>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</si>
  <si>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</si>
  <si>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</si>
  <si>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</si>
  <si>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</si>
  <si>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</si>
  <si>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</si>
  <si>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</si>
  <si>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</si>
  <si>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</si>
  <si>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</si>
  <si>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</si>
  <si>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</si>
  <si>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</si>
  <si>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</si>
  <si>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</si>
  <si>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</si>
  <si>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</si>
  <si>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</si>
  <si>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</si>
  <si>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</si>
  <si>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</si>
  <si>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</si>
  <si>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</si>
  <si>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</si>
  <si>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</si>
  <si>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</si>
  <si>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</si>
  <si>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</si>
  <si>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</si>
  <si>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</si>
  <si>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</si>
  <si>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</si>
  <si>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</si>
  <si>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</si>
  <si>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</si>
  <si>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</si>
  <si>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</si>
  <si>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</si>
  <si>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</si>
  <si>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</si>
  <si>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</si>
  <si>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</si>
  <si>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</si>
  <si>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</si>
  <si>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</si>
  <si>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</si>
  <si>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</si>
  <si>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</si>
  <si>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</si>
  <si>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</si>
  <si>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</si>
  <si>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</si>
  <si>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</si>
  <si>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</si>
  <si>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</si>
  <si>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</si>
  <si>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</si>
  <si>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</si>
  <si>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</si>
  <si>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</si>
  <si>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</si>
  <si>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</si>
  <si>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</si>
  <si>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</si>
  <si>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</si>
  <si>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</si>
  <si>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</si>
  <si>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</si>
  <si>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</si>
  <si>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</si>
  <si>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</si>
  <si>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</si>
  <si>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</si>
  <si>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</si>
  <si>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</si>
  <si>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</si>
  <si>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</si>
  <si>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</si>
  <si>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</si>
  <si>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</si>
  <si>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</si>
  <si>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</si>
  <si>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</si>
  <si>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</si>
  <si>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</si>
  <si>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</si>
  <si>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</si>
  <si>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</si>
  <si>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</si>
  <si>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</si>
  <si>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</si>
  <si>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</si>
  <si>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</si>
  <si>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</si>
  <si>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</si>
  <si>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</si>
  <si>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</si>
  <si>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</si>
  <si>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</si>
  <si>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</si>
  <si>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</si>
  <si>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</si>
  <si>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</si>
  <si>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</si>
  <si>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</si>
  <si>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</si>
  <si>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</si>
  <si>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</si>
  <si>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</si>
  <si>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</si>
  <si>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</si>
  <si>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</si>
  <si>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</si>
  <si>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</si>
  <si>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</si>
  <si>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</si>
  <si>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</si>
  <si>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</si>
  <si>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</si>
  <si>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</si>
  <si>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</si>
  <si>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</si>
  <si>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</si>
  <si>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</si>
  <si>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</si>
  <si>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</si>
  <si>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</si>
  <si>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</si>
  <si>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</si>
  <si>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</si>
  <si>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</si>
  <si>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</si>
  <si>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</si>
  <si>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</si>
  <si>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</si>
  <si>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</si>
  <si>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</si>
  <si>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</si>
  <si>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</si>
  <si>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</si>
  <si>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</si>
  <si>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</si>
  <si>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</si>
  <si>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</si>
  <si>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</si>
  <si>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</si>
  <si>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</si>
  <si>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</si>
  <si>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</si>
  <si>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</si>
  <si>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</si>
  <si>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</si>
  <si>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</si>
  <si>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</si>
  <si>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</si>
  <si>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</si>
  <si>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</si>
  <si>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</si>
  <si>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</si>
  <si>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</si>
  <si>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</si>
  <si>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</si>
  <si>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</si>
  <si>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</si>
  <si>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</si>
  <si>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</si>
  <si>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</si>
  <si>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</si>
  <si>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</si>
  <si>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</si>
  <si>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</si>
  <si>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</si>
  <si>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</si>
  <si>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</si>
  <si>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</si>
  <si>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</si>
  <si>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</si>
  <si>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</si>
  <si>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</si>
  <si>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</si>
  <si>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</si>
  <si>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</si>
  <si>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</si>
  <si>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</si>
  <si>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</si>
  <si>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</si>
  <si>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</si>
  <si>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</si>
  <si>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</si>
  <si>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</si>
  <si>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</si>
  <si>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</si>
  <si>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</si>
  <si>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</si>
  <si>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</si>
  <si>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</si>
  <si>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</si>
  <si>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</si>
  <si>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</si>
  <si>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</si>
  <si>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</si>
  <si>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</si>
  <si>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</si>
  <si>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</si>
  <si>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</si>
  <si>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</si>
  <si>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</si>
  <si>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</si>
  <si>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</si>
  <si>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</si>
  <si>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</si>
  <si>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</si>
  <si>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</si>
  <si>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</si>
  <si>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</si>
  <si>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</si>
  <si>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</si>
  <si>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</si>
  <si>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</si>
  <si>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</si>
  <si>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</si>
  <si>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</si>
  <si>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</si>
  <si>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</si>
  <si>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</si>
  <si>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</si>
  <si>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</si>
  <si>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</si>
  <si>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</si>
  <si>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</si>
  <si>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</si>
  <si>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COUNTY NAME:</t>
  </si>
  <si>
    <t>COUNTY NUMBER:</t>
  </si>
  <si>
    <t>SCHOOL BUS ROUTE INFORMATION</t>
  </si>
  <si>
    <t>VEHICLE</t>
  </si>
  <si>
    <t>IDENTIFICATION</t>
  </si>
  <si>
    <t>NUMBER (VIN)</t>
  </si>
  <si>
    <t>TOTAL ESTIMATED ROUTE REIMBURSEMENT</t>
  </si>
  <si>
    <t>COMMENTS</t>
  </si>
  <si>
    <t>Riders Exceed Capacity of Bus</t>
  </si>
  <si>
    <t>Fill Rated Capacity (see column J)</t>
  </si>
  <si>
    <t>Exceeds the 180 Day Operating Limit</t>
  </si>
  <si>
    <t>TOTAL MILES PER DAY:</t>
  </si>
  <si>
    <t>Fill reimbursement % for this LE</t>
  </si>
  <si>
    <t>This route has no eligible riders</t>
  </si>
  <si>
    <t>Non bus miles are less than the minumum of 10</t>
  </si>
  <si>
    <t>Fill miles per day</t>
  </si>
  <si>
    <t>CHAIR  IEP</t>
  </si>
  <si>
    <t xml:space="preserve">            </t>
  </si>
  <si>
    <t>RIDERSHIP INFORMATION  FROM TR-1</t>
  </si>
  <si>
    <t>(Line 0005 on budget)</t>
  </si>
  <si>
    <t>EST'D CNTY SHARE + MAX CONTINGENCY:</t>
  </si>
  <si>
    <t>(Rev 2220 on Trans Fund Budget) --see note below</t>
  </si>
  <si>
    <t>EST'D STATE SHARE + MAX CONTINGENCY:</t>
  </si>
  <si>
    <t>(Rev 3210 on Trans Fund Budget) -- see note below</t>
  </si>
  <si>
    <t xml:space="preserve"> TOTAL PROJECTED TRANSPORTATION ON SCHEDULE</t>
  </si>
  <si>
    <t>TOTAL BUS ROUTES:</t>
  </si>
  <si>
    <t>TOTAL INDIVIDUAL CONTRACTS:</t>
  </si>
  <si>
    <t>TOTAL PROJECTED ON-SCHEDULE:</t>
  </si>
  <si>
    <t>10% or $100 CONTINGENCY:</t>
  </si>
  <si>
    <t>PROJECTED COUNTY SHARE:</t>
  </si>
  <si>
    <t>PROJECTED STATE SHARE:</t>
  </si>
  <si>
    <t>(Line 0006 on budget) You can adjust this amount if needed.</t>
  </si>
  <si>
    <t xml:space="preserve">Note: Any portion of unreserved fund balance reappropriated that is not needed to fund the "overschedule" (unreimbursed) budget will be used in place of the estimated county share, including contingency.  Then any amount not needed to fund the budget in place of the county portion will be used in place of the estimated state share, including contingency (i.e., district funds get used before state and county funds).  </t>
  </si>
  <si>
    <t>.</t>
  </si>
  <si>
    <t xml:space="preserve">SPECIAL </t>
  </si>
  <si>
    <t>DISTANCE IN MILES</t>
  </si>
  <si>
    <t xml:space="preserve">ISOLATION </t>
  </si>
  <si>
    <t>ROOM &amp;</t>
  </si>
  <si>
    <t>SHARED</t>
  </si>
  <si>
    <t>EDUCATION</t>
  </si>
  <si>
    <t xml:space="preserve">DAYS PUPILS </t>
  </si>
  <si>
    <t>ONE WAY</t>
  </si>
  <si>
    <t>HOME</t>
  </si>
  <si>
    <t>HOME TO</t>
  </si>
  <si>
    <t xml:space="preserve">   PARENT OR GUARDIAN NAME</t>
  </si>
  <si>
    <t>ESTIMATED YEARLY</t>
  </si>
  <si>
    <t>LAST</t>
  </si>
  <si>
    <t>FIRST</t>
  </si>
  <si>
    <t>OF</t>
  </si>
  <si>
    <t>STATUS</t>
  </si>
  <si>
    <t>BOARD</t>
  </si>
  <si>
    <t>WITH IEP</t>
  </si>
  <si>
    <t>TRANSPORTED</t>
  </si>
  <si>
    <t>TO</t>
  </si>
  <si>
    <t>NAME</t>
  </si>
  <si>
    <t>PUPILS</t>
  </si>
  <si>
    <t>FOR THE YEAR</t>
  </si>
  <si>
    <t>BUS STOP</t>
  </si>
  <si>
    <t>FOR EACH CONTRACT</t>
  </si>
  <si>
    <t>N</t>
  </si>
  <si>
    <t>Enter Y or N</t>
  </si>
  <si>
    <t>Grades 9-12</t>
  </si>
  <si>
    <t>Grades K-12</t>
  </si>
  <si>
    <t>K-8 &amp; PK(w/IEP)</t>
  </si>
  <si>
    <t>See Comments by hovering on the red triangles in the cells above</t>
  </si>
  <si>
    <t>List for Non Bus Miles</t>
  </si>
  <si>
    <t>Y</t>
  </si>
  <si>
    <t>Fill Non-Bus Miles with Y or N</t>
  </si>
  <si>
    <r>
      <rPr>
        <sz val="11"/>
        <color theme="0"/>
        <rFont val="Calibri"/>
        <family val="2"/>
        <scheme val="minor"/>
      </rPr>
      <t>*</t>
    </r>
    <r>
      <rPr>
        <sz val="11"/>
        <color theme="1"/>
        <rFont val="Calibri"/>
        <family val="2"/>
        <scheme val="minor"/>
      </rPr>
      <t>NON-BUS</t>
    </r>
  </si>
  <si>
    <t>Fill number of operating days</t>
  </si>
  <si>
    <t>PARENT OR GUARDIAN</t>
  </si>
  <si>
    <t>FUNDING</t>
  </si>
  <si>
    <t>NUMBER OF ONE WAY TRIPS</t>
  </si>
  <si>
    <t>Trips cannot be more than 2</t>
  </si>
  <si>
    <t>No Pupils Entered</t>
  </si>
  <si>
    <t xml:space="preserve">No Trips Entered Home to School </t>
  </si>
  <si>
    <t>Enter Y or N for isolation status</t>
  </si>
  <si>
    <t>Enter Y or N for room &amp; board</t>
  </si>
  <si>
    <t>Enter Y or N for shared funding</t>
  </si>
  <si>
    <t>Enter Y or N for SPED with IEP</t>
  </si>
  <si>
    <t>Days cannot exceed 180</t>
  </si>
  <si>
    <t>No days entered</t>
  </si>
  <si>
    <t>Formulas</t>
  </si>
  <si>
    <t>No Miles Entered</t>
  </si>
  <si>
    <t>Isolation and room &amp; board cannot both be claimed</t>
  </si>
  <si>
    <t>Don't fill home to bus stop if student has an IEP</t>
  </si>
  <si>
    <t>Home to School</t>
  </si>
  <si>
    <t>Home to Bus Stop</t>
  </si>
  <si>
    <t>Daily Rate Cap</t>
  </si>
  <si>
    <t>Home to School With an IEP</t>
  </si>
  <si>
    <t>Home to School Isolation</t>
  </si>
  <si>
    <t>Home to Bus Stop Isolation</t>
  </si>
  <si>
    <t xml:space="preserve">Use Mimimum </t>
  </si>
  <si>
    <t>To School or Bus Stop</t>
  </si>
  <si>
    <t xml:space="preserve">Use Mimimum Iso </t>
  </si>
  <si>
    <t>Home to School Room&amp;Board</t>
  </si>
  <si>
    <t>Home to Bus Stop Room&amp;Board</t>
  </si>
  <si>
    <t>Use Mimimum R&amp;B</t>
  </si>
  <si>
    <t>TRANSPORTATION BUDGET WORKSHEET - INDIVIDUAL CONTRACTS - TOTALS</t>
  </si>
  <si>
    <t>TRANSPORTATION BUDGET WORKSHEET - INDIVIDUAL CONTRACTS - PAGE ONE</t>
  </si>
  <si>
    <t>Total:</t>
  </si>
  <si>
    <t>TOTAL:</t>
  </si>
  <si>
    <t>Home to School Shared</t>
  </si>
  <si>
    <t xml:space="preserve">Home to Bus Stop Shared </t>
  </si>
  <si>
    <t xml:space="preserve">Use Mimimum Shared </t>
  </si>
  <si>
    <t>     (1) "Bus route" means a route approved by the board of trustees of a school district and by the county transportation committee.</t>
  </si>
  <si>
    <t>     (2) "Eligible transportee" means a public school pupil who:</t>
  </si>
  <si>
    <t>     (a) is 5 years of age or older and has not reached the age of 21 on or before September 10 of the current school year or who is a preschool child with a disability between the ages of 3 and 6;</t>
  </si>
  <si>
    <t>     (b) is a resident of the state of Montana;</t>
  </si>
  <si>
    <t>     (c) regardless of district and county boundaries:</t>
  </si>
  <si>
    <t>     (i) resides at least 3 miles, over the shortest practical route, from the nearest operating public elementary school or public high school, whichever the case may be; or</t>
  </si>
  <si>
    <t>     (ii) has transportation identified as a related service in an individualized education program as developed and implemented in accordance with the Individuals With Disabilities Education Act, 20 U.S.C. 1400, et seq.; and</t>
  </si>
  <si>
    <t>     (d) is considered to reside with a parent or guardian who maintains legal residence within the boundaries of the district furnishing the transportation regardless of where the eligible transportee actually lives when attending school.</t>
  </si>
  <si>
    <t>     (3) "Passenger seating position" means, as defined in 49 CFR 571.222, the space on a school bus allocated for one passenger.</t>
  </si>
  <si>
    <t>     (4) (a) "School bus" means, except as provided in subsection (4)(b), any motor vehicle that:</t>
  </si>
  <si>
    <t>     (i) complies with the bus standards established by the board of public education as verified by the department of justice's semiannual inspection of school buses and the superintendent of public instruction; and</t>
  </si>
  <si>
    <t>     (ii) is owned by a district or other public agency and operated for the transportation of pupils to or from school or owned by a carrier under contract with a district or public agency to provide transportation of pupils to or from school.</t>
  </si>
  <si>
    <t>     (b) A school bus does not include a vehicle that is:</t>
  </si>
  <si>
    <t>     (i) privately owned and not operated for compensation under this title;</t>
  </si>
  <si>
    <t>     (ii) privately owned and operated for reimbursement under 20-10-142;</t>
  </si>
  <si>
    <t>     (iii) either district-owned or privately owned, designed to carry not more than nine passengers, and used to transport pupils to or from activity events or to transport pupils to their homes in case of illness or other emergency situations; or</t>
  </si>
  <si>
    <t>     (iv) an over-the-road passenger coach used only to transport pupils to activity events.</t>
  </si>
  <si>
    <t>     (5) "Transportation" means:</t>
  </si>
  <si>
    <t>     (a) a district's conveyance of a pupil by a school bus between the pupil's legal residence or an officially designated bus stop and the school designated by the trustees for the pupil's attendance; or</t>
  </si>
  <si>
    <t>     (b) "individual transportation" by which a district is relieved of actually conveying a pupil. Individual transportation may include paying the parent or guardian for conveying the pupil, reimbursing the parent or guardian for the pupil's board and room, or providing supervised correspondence study or supervised home study.</t>
  </si>
  <si>
    <t>     (6) "Transportation service area" means the geographic area of responsibility for school bus transportation for each district that operates a school bus transportation program.</t>
  </si>
  <si>
    <r>
      <rPr>
        <b/>
        <u/>
        <sz val="11"/>
        <color theme="9" tint="-0.499984740745262"/>
        <rFont val="Calibri"/>
        <family val="2"/>
        <scheme val="minor"/>
      </rPr>
      <t>20-10-105</t>
    </r>
    <r>
      <rPr>
        <b/>
        <sz val="11"/>
        <color indexed="8"/>
        <rFont val="Calibri"/>
        <family val="2"/>
        <scheme val="minor"/>
      </rPr>
      <t xml:space="preserve">. Determination of residence. When the residence of an eligible transportee is a matter of controversy and is an issue before a board of trustees, a county transportation committee, or the superintendent of public instruction, except as provided in 20-9-707, the residence must be established on the basis of the general state residence law as provided in 1-1-215. Whenever the state is determined to be responsible for paying tuition for any pupil in accordance with 20-5-321 through 20-5-323, the residence of the pupil for tuition purposes is the residence of the pupil for transportation purposes.
</t>
    </r>
    <r>
      <rPr>
        <sz val="11"/>
        <color indexed="8"/>
        <rFont val="Calibri"/>
        <family val="2"/>
        <scheme val="minor"/>
      </rPr>
      <t xml:space="preserve">History: En. 75-7016 by Sec. 293, Ch. 5, L. 1971; amd. Sec. 20, Ch. 266, L. 1977; R.C.M. 1947, 75-7016; amd. Sec. 16, Ch. 563, L. 1993; amd. Sec. 4, Ch. 132, L. 2005; amd. Sec. 7, Ch. 463, L. 2005. </t>
    </r>
  </si>
  <si>
    <r>
      <rPr>
        <b/>
        <u/>
        <sz val="11"/>
        <color theme="9" tint="-0.499984740745262"/>
        <rFont val="Calibri"/>
        <family val="2"/>
        <scheme val="minor"/>
      </rPr>
      <t>20-10-106</t>
    </r>
    <r>
      <rPr>
        <b/>
        <sz val="11"/>
        <color theme="9" tint="-0.499984740745262"/>
        <rFont val="Calibri"/>
        <family val="2"/>
        <scheme val="minor"/>
      </rPr>
      <t>.</t>
    </r>
    <r>
      <rPr>
        <b/>
        <sz val="11"/>
        <color indexed="8"/>
        <rFont val="Calibri"/>
        <family val="2"/>
        <scheme val="minor"/>
      </rPr>
      <t xml:space="preserve"> Determination of mileage distances. When the mileage distance that transportation services are to be provided is a matter of controversy and is an issue before a board of trustees, a county transportation committee, or the superintendent of public instruction, the mileage shall be established on the following basis:       
</t>
    </r>
    <r>
      <rPr>
        <sz val="11"/>
        <color indexed="8"/>
        <rFont val="Calibri"/>
        <family val="2"/>
        <scheme val="minor"/>
      </rPr>
      <t xml:space="preserve">History: En. 75-7017 by Sec. 294, Ch. 5, L. 1971; amd. Sec. 21, Ch. 266, L. 1977; R.C.M. 1947, 75-7017. </t>
    </r>
  </si>
  <si>
    <t>     (1) The distance in mileage shall be measured by a vehicle equipped with an accurate odometer.</t>
  </si>
  <si>
    <t>     (2) A representative of the applicable district and a parent or guardian of the child to be transported shall be present when the distance is measured.</t>
  </si>
  <si>
    <t>     (3) The measurement shall begin 6 yards from the family home and end 6 yards from the entrance of the school grounds closest to the route.</t>
  </si>
  <si>
    <t>     (4) The route traversed for the measurement shall be the route designated by the trustees, except that the route shall be reasonably passable during the entire school fiscal year by the vehicle that provides the child's transportation. In determining reasonable passage, a route may not be disqualified because it is impassable during temporary, extreme weather conditions such as rains, snow, or floods.</t>
  </si>
  <si>
    <r>
      <rPr>
        <b/>
        <u/>
        <sz val="11"/>
        <color theme="9" tint="-0.499984740745262"/>
        <rFont val="Calibri"/>
        <family val="2"/>
        <scheme val="minor"/>
      </rPr>
      <t>20-10-121</t>
    </r>
    <r>
      <rPr>
        <b/>
        <sz val="11"/>
        <color theme="9" tint="-0.499984740745262"/>
        <rFont val="Calibri"/>
        <family val="2"/>
        <scheme val="minor"/>
      </rPr>
      <t>.</t>
    </r>
    <r>
      <rPr>
        <b/>
        <sz val="11"/>
        <color indexed="8"/>
        <rFont val="Calibri"/>
        <family val="2"/>
        <scheme val="minor"/>
      </rPr>
      <t xml:space="preserve"> Duty of trustees to provide transportation -- types of transportation -- bus riding time limitation.  
</t>
    </r>
    <r>
      <rPr>
        <sz val="11"/>
        <color indexed="8"/>
        <rFont val="Calibri"/>
        <family val="2"/>
        <scheme val="minor"/>
      </rPr>
      <t xml:space="preserve">History: En. 75-7008 by Sec. 285, Ch. 5, L. 1971; amd. Sec. 1, Ch. 245, L. 1973; R.C.M. 1947, 75-7008; amd. Sec. 318, Ch. 56, L. 2009. </t>
    </r>
  </si>
  <si>
    <t xml:space="preserve">     (1) The trustees of a district may furnish transportation to an eligible transportee who attends a school of the district or has been granted permission to attend a school outside of the district. Whenever the trustees of a district provide transportation for an eligible transportee, the trustees shall provide all eligible transportees of the district with transportation. The trustees shall furnish transportation when directed to do so by the county transportation committee and when that direction is upheld by the superintendent of public instruction.</t>
  </si>
  <si>
    <t>     (2) The tendering of a contract to the parent or guardian under which the district would pay the parent or guardian for individually transporting the pupil or pupils fulfills the district's obligation to furnish transportation for an eligible transportee. The parent or guardian of an eligible transportee may provide transportation or arrange for transportation for the parent's or guardian's child at the parent's or guardian's own expense to any district willing to accept the child.</t>
  </si>
  <si>
    <t>     (3) The type of transportation provided by a district may be:</t>
  </si>
  <si>
    <t>     (a) by a school bus; or</t>
  </si>
  <si>
    <t>     (b) by individual transportation:</t>
  </si>
  <si>
    <t>     (i) paying the parent or guardian for individually transporting the pupil;</t>
  </si>
  <si>
    <t>     (ii) paying board and room reimbursements;</t>
  </si>
  <si>
    <t>     (iii) providing supervised correspondence study; or</t>
  </si>
  <si>
    <t>     (iv) providing supervised home study.</t>
  </si>
  <si>
    <t>     (4) When the parent or guardian of an elementary pupil consents to a trip of over 1 hour, the trustees may require the eligible transportee to ride a school bus for more than 1 hour each trip.</t>
  </si>
  <si>
    <r>
      <rPr>
        <b/>
        <u/>
        <sz val="11"/>
        <color theme="9" tint="-0.499984740745262"/>
        <rFont val="Calibri"/>
        <family val="2"/>
        <scheme val="minor"/>
      </rPr>
      <t>20-10-122</t>
    </r>
    <r>
      <rPr>
        <b/>
        <sz val="11"/>
        <color theme="9" tint="-0.499984740745262"/>
        <rFont val="Calibri"/>
        <family val="2"/>
        <scheme val="minor"/>
      </rPr>
      <t>.</t>
    </r>
    <r>
      <rPr>
        <b/>
        <sz val="11"/>
        <color indexed="8"/>
        <rFont val="Calibri"/>
        <family val="2"/>
        <scheme val="minor"/>
      </rPr>
      <t xml:space="preserve"> Discretionary provision of transportation and payment for this transportation.        
</t>
    </r>
    <r>
      <rPr>
        <sz val="11"/>
        <color indexed="8"/>
        <rFont val="Calibri"/>
        <family val="2"/>
        <scheme val="minor"/>
      </rPr>
      <t xml:space="preserve">History: En. 75-7009 by Sec. 286, Ch. 5, L. 1971; R.C.M. 1947, 75-7009; amd. Sec. 319, Ch. 56, L. 2009. </t>
    </r>
  </si>
  <si>
    <t xml:space="preserve">    (1) The trustees of a district may provide school bus transportation to any pupil of a public school who is not an eligible transportee of the district:</t>
  </si>
  <si>
    <t>     (a) on a school bus conveying eligible transportees when the ineligible transportee will not displace an eligible transportee from the school bus because of the lack of seating capacity;</t>
  </si>
  <si>
    <t>     (b) on a school bus operated by the district for the sole purpose of providing transportation for ineligible transportees. The school bus must service those children living the greatest distance from the school to be attended.</t>
  </si>
  <si>
    <t>     (c) on a school bus operated for the purpose of relieving congestion in a school building or to avoid the necessity of erecting a new building or for any other reasons of economy or convenience.</t>
  </si>
  <si>
    <t>     (2) When the trustees of a district provide school bus transportation to an ineligible transportee under the conditions of subsection (1)(a) or (1)(b), the district may charge each ineligible transportee a proportionate share, as determined by the trustees, of the cost of operating the school bus. Money realized from the payments must be deposited to the credit of the transportation fund.</t>
  </si>
  <si>
    <r>
      <rPr>
        <b/>
        <u/>
        <sz val="11"/>
        <color theme="9" tint="-0.499984740745262"/>
        <rFont val="Calibri"/>
        <family val="2"/>
        <scheme val="minor"/>
      </rPr>
      <t>20-10-123</t>
    </r>
    <r>
      <rPr>
        <b/>
        <sz val="11"/>
        <color theme="9" tint="-0.499984740745262"/>
        <rFont val="Calibri"/>
        <family val="2"/>
        <scheme val="minor"/>
      </rPr>
      <t xml:space="preserve">. </t>
    </r>
    <r>
      <rPr>
        <b/>
        <sz val="11"/>
        <color indexed="8"/>
        <rFont val="Calibri"/>
        <family val="2"/>
        <scheme val="minor"/>
      </rPr>
      <t xml:space="preserve">Provision of transportation for nonpublic school children. Any child attending a nonpublic school may ride a school bus when a permit to ride the school bus is secured from the operating district by the parent or guardian of the nonpublic school child and when there is seating capacity available on the school bus. When a nonpublic school child rides a school bus, the operating district may charge the child a proportionate share, as determined by the trustees, of the cost of operating the school bus. Money realized from the payments must be deposited to the credit of the transportation fund.  
</t>
    </r>
    <r>
      <rPr>
        <sz val="11"/>
        <color indexed="8"/>
        <rFont val="Calibri"/>
        <family val="2"/>
        <scheme val="minor"/>
      </rPr>
      <t xml:space="preserve">History: En. 75-7010 by Sec. 287, Ch. 5, L. 1971; R.C.M. 1947, 75-7010; amd. Sec. 1, Ch. 320, L. 1987; amd. Sec. 320, Ch. 56, L. 2009. </t>
    </r>
  </si>
  <si>
    <r>
      <rPr>
        <b/>
        <u/>
        <sz val="11"/>
        <color theme="9" tint="-0.499984740745262"/>
        <rFont val="Calibri"/>
        <family val="2"/>
        <scheme val="minor"/>
      </rPr>
      <t>20-10-141</t>
    </r>
    <r>
      <rPr>
        <b/>
        <sz val="11"/>
        <color theme="9" tint="-0.499984740745262"/>
        <rFont val="Calibri"/>
        <family val="2"/>
        <scheme val="minor"/>
      </rPr>
      <t>.</t>
    </r>
    <r>
      <rPr>
        <b/>
        <sz val="11"/>
        <color indexed="8"/>
        <rFont val="Calibri"/>
        <family val="2"/>
        <scheme val="minor"/>
      </rPr>
      <t xml:space="preserve"> Schedule of maximum reimbursement by mileage rates.  
</t>
    </r>
    <r>
      <rPr>
        <sz val="11"/>
        <color indexed="8"/>
        <rFont val="Calibri"/>
        <family val="2"/>
        <scheme val="minor"/>
      </rPr>
      <t xml:space="preserve">History: En. 75-7018 by Sec. 295, Ch. 5, L. 1971; amd. Sec. 1, Ch. 469, L. 1975; amd. Sec. 22, Ch. 266, L. 1977; amd. Sec. 1, Ch. 529, L. 1977; R.C.M. 1947, 75-7018; amd. Sec. 1, Ch. 590, L. 1979; amd. Sec. 1, Ch. 454, L. 1981; amd. Sec. 1, Ch. 515, L. 1983; amd. Sec. 1, Ch. 559, L. 1983; amd. Sec. 1, Ch. 344, L. 1985; amd. Sec. 10, Ch. 711, L. 1991; amd. Sec. 6, Ch. 298, L. 1995; amd. Sec. 10, Ch. 550, L. 2003. </t>
    </r>
  </si>
  <si>
    <t xml:space="preserve">     (1) The mileage rates in subsection (2) for school transportation constitute the maximum reimbursement to districts for school transportation from state and county sources of transportation revenue under the provisions of 20-10-145 and 20-10-146. These rates may not limit the amount that a district may budget in its transportation fund budget in order to provide for the estimated and necessary cost of school transportation during the ensuing school fiscal year. All bus miles traveled on bus routes approved by the county transportation committee are reimbursable. Nonbus mileage is reimbursable for a vehicle driven by a bus driver to and from an overnight location of a school bus when the location is more than 10 miles from the school. A district may approve additional bus or nonbus miles within its own district or approved service area but may not claim reimbursement for the mileage. Any vehicle, the operation of which is reimbursed for bus mileage under the rate provisions of this schedule, must be a school bus, as defined by this title, driven by a qualified driver on a bus route approved by the county transportation committee and the superintendent of public instruction.</t>
  </si>
  <si>
    <t>     (2) (a) The rate for each bus mile traveled must be determined in accordance with the following schedule:</t>
  </si>
  <si>
    <t>     (i) 95 cents for a school bus with a rated capacity of not more than 49 passenger seating positions;</t>
  </si>
  <si>
    <t>     (ii) $1.15 for a school bus with a rated capacity of 50 to 59 passenger seating positions;</t>
  </si>
  <si>
    <t>     (iii) $1.36 for a school bus with a rated capacity of 60 to 69 passenger seating positions;</t>
  </si>
  <si>
    <t>     (iv) $1.57 for a school bus with a rated capacity of 70 to 79 passenger seating positions; and</t>
  </si>
  <si>
    <t>     (v) $1.80 for a school bus with 80 or more passenger seating positions.</t>
  </si>
  <si>
    <t>     (b) Nonbus mileage, as provided in subsection (1), must be reimbursed at a rate of 50 cents a mile.</t>
  </si>
  <si>
    <t>     (3) The rated capacity is the number of passenger seating positions of a school bus as determined under the policy adopted by the board of public education. If modification of a school bus to accommodate pupils with disabilities reduces the rated capacity of the bus, the reimbursement to a district for pupil transportation is based on the rated capacity of the bus prior to modification.</t>
  </si>
  <si>
    <t>     (4) The number of pupils riding the school bus may not exceed the passenger seating positions of the bus.</t>
  </si>
  <si>
    <r>
      <rPr>
        <b/>
        <u/>
        <sz val="11"/>
        <color theme="9" tint="-0.499984740745262"/>
        <rFont val="Calibri"/>
        <family val="2"/>
        <scheme val="minor"/>
      </rPr>
      <t>20-10-142</t>
    </r>
    <r>
      <rPr>
        <b/>
        <sz val="11"/>
        <color theme="9" tint="-0.499984740745262"/>
        <rFont val="Calibri"/>
        <family val="2"/>
        <scheme val="minor"/>
      </rPr>
      <t>.</t>
    </r>
    <r>
      <rPr>
        <b/>
        <sz val="11"/>
        <color indexed="8"/>
        <rFont val="Calibri"/>
        <family val="2"/>
        <scheme val="minor"/>
      </rPr>
      <t xml:space="preserve"> Schedule of maximum reimbursement for individual transportation. The following rates for individual transportation constitute the maximum reimbursement to districts for individual transportation from state and county sources of transportation revenue under the provisions of 20-10-145 and 20-10-146. These rates constitute the limitation of the budgeted amounts for individual transportation for the ensuing school fiscal year. The schedules provided in this section may not be altered by any authority other than the legislature. When the trustees contract with the parent or guardian of any eligible transportee to provide individual transportation for each day of school attendance, they shall reimburse the parent or guardian for actual miles transported on the basis of the following schedule:  
</t>
    </r>
    <r>
      <rPr>
        <sz val="11"/>
        <color indexed="8"/>
        <rFont val="Calibri"/>
        <family val="2"/>
        <scheme val="minor"/>
      </rPr>
      <t xml:space="preserve">History: En. 75-7019 by Sec. 296, Ch. 5, L. 1971; amd. Sec. 1, Ch. 169, L. 1973; amd. Sec. 3, Ch. 416, L. 1973; amd. Sec. 1, Ch. 470, L. 1975; amd. Sec. 1, Ch. 534, L. 1977; R.C.M. 1947, 75-7019; amd. Sec. 2, Ch. 590, L. 1979; amd. Sec. 2, Ch. 454, L. 1981; amd. Sec. 11, Ch. 711, L. 1991; amd. Sec. 2, Ch. 359, L. 1993; amd. Sec. 7, Ch. 298, L. 1995; amd. Sec. 2, Ch. 409, L. 2001; amd. Sec. 11, Ch. 4, Sp. L. December 2005. </t>
    </r>
  </si>
  <si>
    <t>     (1) When a parent or guardian transports an eligible transportee or transportees from the residence of the parent or guardian to a school or to schools located within 3 miles of one another, the total reimbursement for each day of attendance is determined by multiplying the distance in miles between the residence and the school, or the most distant school if more than one, by 2, subtracting 6 miles from the product, and multiplying the difference by 35 cents, provided that:</t>
  </si>
  <si>
    <t>     (a) if two or more eligible transportees are transported by a parent or guardian to two or more schools located within 3 miles of one another and if the schools are operated by different school districts, the total amount of the reimbursement must be divided equally between the districts;</t>
  </si>
  <si>
    <t>     (b) if two or more eligible transportees are transported by a parent or guardian to two or more schools located more than 3 miles from one another, the parent or guardian must be separately reimbursed for transporting the eligible transportee or transportees to each school;</t>
  </si>
  <si>
    <t>     (c) if a parent transports two or more eligible transportees to a school and a bus stop that are located within 3 miles of one another, the total reimbursement must be determined under the provisions of this subsection (1) and must be divided equally between the district operating the school and the district operating the bus;</t>
  </si>
  <si>
    <t>     (d) if a parent transporting two or more eligible transportees to a school or bus stop must, because of varying arrival and departure times, make more than one round-trip journey to the bus stop or school, the total reimbursement allowed by this section is limited to one round trip a day for each scheduled arrival or departure time;</t>
  </si>
  <si>
    <t>     (e) notwithstanding subsection (1)(a), (1)(b), (1)(c), or (1)(d), a reimbursement may not be less than 35 cents a day.</t>
  </si>
  <si>
    <t>     (2) When the parent or guardian transports an eligible transportee or transportees from the residence to a bus stop of a bus route approved by the trustees for the transportation of the transportee or transportees, the total reimbursement for each day of attendance is determined by multiplying the distance in miles between the residence and the bus stop by 2, subtracting 6 miles from the product, and multiplying the difference by 35 cents, provided that:</t>
  </si>
  <si>
    <t>     (a) if the eligible transportees attend schools in different districts but ride on one bus, the districts shall divide the total reimbursement equally; and</t>
  </si>
  <si>
    <t>     (b) if the parent or guardian is required to transport the eligible transportees to more than one bus, the parent or guardian must be separately reimbursed for transportation to each bus.</t>
  </si>
  <si>
    <t>     (3) When, because of excessive distances, impassable roads, or other special circumstances of isolation, the rates prescribed in subsection (1) or (2) would be an inadequate reimbursement for the transportation costs or would result in a physical hardship for the eligible transportee, a parent or guardian may request an increase in the reimbursement rate. A request for increased rates because of isolation must be made by the parent or guardian on the contract for individual transportation for the ensuing school fiscal year by indicating the special facts and circumstances that exist to justify the increase. Before an increased rate because of isolation may be paid to the requesting parent or guardian, the rate must be approved by the county transportation committee and the superintendent of public instruction after the trustees have indicated their approval or disapproval. Regardless of the action of the trustees and when approval is given by the committee and the superintendent of public instruction, the trustees shall pay the increased rate because of isolation. The increased rate is 1 1/2 times the rate prescribed in subsection (1).</t>
  </si>
  <si>
    <t>     (4) The state and county transportation reimbursement for an individual transportation contract may not exceed $12.95 for each day of attendance for the first eligible transportee and $8.40 for each day of attendance for each additional eligible transportee.</t>
  </si>
  <si>
    <t>     (5) When the isolated conditions of the household where an eligible transportee resides require an eligible transportee to live away from the household in order to attend school, the eligible transportee is eligible for the room and board reimbursement. Approval to receive the room and board reimbursement must be obtained in the same manner prescribed in subsection (3). The per diem rate for room and board is $12.95 for one eligible transportee and $8.40 for each additional eligible transportee of the same household.</t>
  </si>
  <si>
    <t>     (6) When the individual transportation provision is to be satisfied by supervised home study or supervised correspondence study, the reimbursement rate is the cost of the study, provided that the course of instruction is approved by the trustees and supervised by the district.</t>
  </si>
  <si>
    <r>
      <rPr>
        <b/>
        <u/>
        <sz val="11"/>
        <color theme="9" tint="-0.499984740745262"/>
        <rFont val="Calibri"/>
        <family val="2"/>
        <scheme val="minor"/>
      </rPr>
      <t>20-10-143</t>
    </r>
    <r>
      <rPr>
        <b/>
        <sz val="11"/>
        <color theme="9" tint="-0.499984740745262"/>
        <rFont val="Calibri"/>
        <family val="2"/>
        <scheme val="minor"/>
      </rPr>
      <t xml:space="preserve">. </t>
    </r>
    <r>
      <rPr>
        <b/>
        <sz val="11"/>
        <color indexed="8"/>
        <rFont val="Calibri"/>
        <family val="2"/>
        <scheme val="minor"/>
      </rPr>
      <t xml:space="preserve">Budgeting for transportation and transmittal of transportation contracts.  
</t>
    </r>
    <r>
      <rPr>
        <sz val="11"/>
        <color indexed="8"/>
        <rFont val="Calibri"/>
        <family val="2"/>
        <scheme val="minor"/>
      </rPr>
      <t xml:space="preserve">History: En. 75-7020 by Sec. 297, Ch. 5, L. 1971; R.C.M. 1947, 75-7020; amd. Sec. 12, Ch. 711, L. 1991; amd. Sec. 44, Ch. 767, L. 1991; amd. Sec. 12, Ch. 211, L. 1997; amd. Sec. 14, Ch. 343, L. 1999.  </t>
    </r>
  </si>
  <si>
    <t xml:space="preserve">    (1) The trustees of a district furnishing transportation to pupils who are residents of the district shall provide a transportation fund budget that is adequate to finance the district's transportation contractual obligations and any other transportation expenditures necessary for the conduct of its transportation program. The transportation fund budget must include:</t>
  </si>
  <si>
    <t>     (a) an adequate amount to finance the maintenance and operation of school buses owned and operated by the district;</t>
  </si>
  <si>
    <t>     (b) the annual contracted amount for the maintenance and operation of school buses by a private party;</t>
  </si>
  <si>
    <t>     (c) the annual contracted amount for individual transportation, including any increased amount because of isolation, which may not exceed the schedule amounts prescribed in 20-10-142;</t>
  </si>
  <si>
    <t>     (d) any amount necessary for the purchase, rental, or insurance of school buses; and</t>
  </si>
  <si>
    <t>     (e) any other amount necessary to finance the administration, operation, or maintenance of the transportation program of the district, as determined by the trustees.</t>
  </si>
  <si>
    <t>     (2) The trustees may include a contingency amount in the transportation fund budget for the purpose of enabling the district to fulfill an obligation to provide transportation in accordance with this title for:</t>
  </si>
  <si>
    <t>     (a) pupils not residing in the district at the time of the adoption of the final budget and who subsequently became residents of the district during the school fiscal year;</t>
  </si>
  <si>
    <t>     (b) pupils who have become eligible transportees since the adoption of the final budget because their legal residence has been changed; or</t>
  </si>
  <si>
    <t>     (c) other unforeseen increases in bus route mileage or obligations for payment of additional contracts for individual transportation for an eligible transportee for which state and county reimbursement is authorized under 20-10-141 and 20-10-142. The budgeted contingency amount may not exceed 10% of the transportation schedule amount as calculated under the provisions of 20-10-141 and 20-10-142 for all transportation services authorized by the schedules and provided by the district unless 10% of the transportation schedule amount is less than $100, in which case $100 is the maximum limitation for the budgeted contingency amount.</t>
  </si>
  <si>
    <t>     (3) A budget amendment to the transportation fund budget may be adopted subject to the provisions of 20-9-161 through 20-9-166.</t>
  </si>
  <si>
    <t>     (4) The trustees shall report the transportation fund budget on the regular budget form prescribed by the superintendent of public instruction in accordance with 20-9-103, and the adoption of the transportation fund budget must be completed in accordance with the school budgeting laws. When the adopted final budget is sent to the county superintendent, the trustees shall also send copies of all completed transportation contracts for school bus transportation to the county superintendent. The contracts must substantiate all contracted school bus transportation services incorporated in the final budget.</t>
  </si>
  <si>
    <r>
      <rPr>
        <b/>
        <u/>
        <sz val="11"/>
        <color theme="9" tint="-0.499984740745262"/>
        <rFont val="Calibri"/>
        <family val="2"/>
        <scheme val="minor"/>
      </rPr>
      <t>20-10-145.</t>
    </r>
    <r>
      <rPr>
        <b/>
        <sz val="11"/>
        <color indexed="8"/>
        <rFont val="Calibri"/>
        <family val="2"/>
        <scheme val="minor"/>
      </rPr>
      <t xml:space="preserve"> State transportation reimbursement.  
</t>
    </r>
    <r>
      <rPr>
        <sz val="11"/>
        <color indexed="8"/>
        <rFont val="Calibri"/>
        <family val="2"/>
        <scheme val="minor"/>
      </rPr>
      <t xml:space="preserve">History: En. 75-7022 by Sec. 299, Ch. 5, L. 1971; R.C.M. 1947, 75-7022; amd. Sec. 14, Ch. 711, L. 1991; amd. Sec. 46, Ch. 767, L. 1991; amd. Sec. 15, Ch. 343, L. 1999; amd. Sec. 21, Ch. 389, L. 2013.  </t>
    </r>
  </si>
  <si>
    <t xml:space="preserve">     (1) A district providing school bus transportation or individual transportation in accordance with this title, board of public education transportation policy, and superintendent of public instruction transportation rules must receive a state reimbursement of its transportation expenditures under the transportation reimbursement rate provisions of 20-10-141 and 20-10-142. The state transportation reimbursement is one-half of the reimbursement amounts established in 20-10-141 and 20-10-142 or one-half of the district's transportation fund budget, whichever is smaller, and must be computed on the basis of the number of days the transportation services were actually rendered, not to exceed 180 pupil-instruction days. In determining the amount of the state transportation reimbursement, an amount claimed by a district may not be considered for reimbursement unless the amount has been paid in the regular manner provided for the payment of other financial obligations of the district.</t>
  </si>
  <si>
    <t>     (2) Requests for the state transportation reimbursement must be made by each district semiannually during the school fiscal year on the claim forms and procedure promulgated by the superintendent of public instruction. The claims for state transportation reimbursements must be routed by the district to the county superintendent, who after reviewing the claims shall send them to the superintendent of public instruction. The superintendent of public instruction shall establish the validity and accuracy of the claims for the state transportation reimbursements by determining compliance with this title, board of public education transportation policy, and the transportation rules of the superintendent of public instruction. After making any necessary adjustments to the claims, the superintendent of public instruction shall order a disbursement from the state money appropriated by the legislature of the state of Montana for the state transportation reimbursement.</t>
  </si>
  <si>
    <t>     (3) The superintendent of public instruction shall make the disbursement to each school district according to the following schedule:</t>
  </si>
  <si>
    <t>     (a) By September 1 of each year, the superintendent of public instruction shall make a payment equal to 50% of the state transportation reimbursement paid to the district in the previous school year.</t>
  </si>
  <si>
    <t>     (b) By March 31 of each year, the superintendent of public instruction shall make a payment to the district equal to the approved amount of state reimbursement for first semester transportation claims less the amount distributed to the district under subsection (3)(a).</t>
  </si>
  <si>
    <t>     (c) By June 30 of each year, the superintendent of public instruction shall make a payment to the district to pay the balance of the approved amount due to the district for first and second semester transportation.</t>
  </si>
  <si>
    <t>     (4) The payment of all the district's claims within one county must be made to the county treasurer of the county, and the county superintendent shall apportion the payment in accordance with the apportionment order supplied by the superintendent of public instruction.</t>
  </si>
  <si>
    <t>     (5) After adopting a budget amendment for the transportation fund in accordance with 20-9-161 through 20-9-166, the district shall send to the superintendent of public instruction a copy of each new or amended individual transportation contract and each new or amended bus route form to which the budget amendment applies. State reimbursement for the additional obligations must be paid as provided in subsection (1).</t>
  </si>
  <si>
    <r>
      <rPr>
        <b/>
        <u/>
        <sz val="11"/>
        <color theme="9" tint="-0.499984740745262"/>
        <rFont val="Calibri"/>
        <family val="2"/>
        <scheme val="minor"/>
      </rPr>
      <t>20-10-101</t>
    </r>
    <r>
      <rPr>
        <b/>
        <sz val="11"/>
        <color theme="7" tint="-0.499984740745262"/>
        <rFont val="Calibri"/>
        <family val="2"/>
        <scheme val="minor"/>
      </rPr>
      <t>.</t>
    </r>
    <r>
      <rPr>
        <b/>
        <sz val="11"/>
        <color theme="1"/>
        <rFont val="Calibri"/>
        <family val="2"/>
        <scheme val="minor"/>
      </rPr>
      <t xml:space="preserve"> Definitions. As used in this title, unless the context clearly indicates otherwise, the following definitions apply:     
</t>
    </r>
    <r>
      <rPr>
        <sz val="11"/>
        <color theme="1"/>
        <rFont val="Calibri"/>
        <family val="2"/>
        <scheme val="minor"/>
      </rPr>
      <t xml:space="preserve">History: (1), (2)En. Sec. 278, Ch. 5, L. 1971; amd. Sec. 1, Ch. 61, L. 1974; amd. Sec. 3, Ch. 371, L. 1975; Sec. 75-7001, R.C.M. 1947; (3)En. Sec. 279, Ch. 5, L. 1971; amd.   Sec. 2, Ch. 141, L. 1973; Sec. 75-7002, R.C.M. 1947; R.C.M. 1947, 75-7001, 75-7002(part); amd. Sec. 1, Ch. 525, L. 1983; amd. Sec. 10, Ch. 249, L. 1991; amd. Sec. 43, Ch. 767, L. 1991; amd. Sec. 1, Ch. 359, L. 1993; amd. Sec. 1, Ch. 298, L. 1995; amd. Sec. 99(4), Ch. 51, L. 1999; amd. Sec. 9, Ch. 550, L. 2003. </t>
    </r>
  </si>
  <si>
    <t>20-10-142 MCA</t>
  </si>
  <si>
    <t>ELIGIBLE   RIDERS   (20-10-101 MCA)</t>
  </si>
  <si>
    <t>INELIGIBLE RIDERS   (20-10-101 MCA)</t>
  </si>
  <si>
    <t>20-10-141 MCA</t>
  </si>
  <si>
    <t>20-10-142  MCA</t>
  </si>
  <si>
    <t xml:space="preserve"> </t>
  </si>
  <si>
    <t>Montana Code Annotated (MCA)</t>
  </si>
  <si>
    <t>Van</t>
  </si>
  <si>
    <t>Is this a Van</t>
  </si>
  <si>
    <t xml:space="preserve"> For help, please call Donell Rosenthall at (406) 461-9316  </t>
  </si>
  <si>
    <r>
      <rPr>
        <b/>
        <sz val="11"/>
        <color rgb="FFFF0000"/>
        <rFont val="Calibri"/>
        <family val="2"/>
        <scheme val="minor"/>
      </rPr>
      <t>NOTE:</t>
    </r>
    <r>
      <rPr>
        <sz val="11"/>
        <color rgb="FFFF0000"/>
        <rFont val="Calibri"/>
        <family val="2"/>
        <scheme val="minor"/>
      </rPr>
      <t xml:space="preserve"> This spreadsheet has been produced as a courtesy for estimating your budget.  It is your responsibility to verify the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</si>
</sst>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0"/>
      <name val="Calibri"/>
      <family val="2"/>
      <scheme val="minor"/>
    </font>
    <font>
      <sz val="10"/>
      <color theme="1"/>
      <name val="Calibri"/>
      <family val="2"/>
      <scheme val="minor"/>
    </font>
    <font>
      <b/>
      <sz val="11"/>
      <color theme="1"/>
      <name val="Calibri"/>
      <family val="2"/>
      <scheme val="minor"/>
    </font>
    <font>
      <b/>
      <sz val="20"/>
      <color theme="1"/>
      <name val="Calibri"/>
      <family val="2"/>
      <scheme val="minor"/>
    </font>
    <font>
      <b/>
      <u/>
      <sz val="11"/>
      <color theme="9" tint="-0.499984740745262"/>
      <name val="Calibri"/>
      <family val="2"/>
      <scheme val="minor"/>
    </font>
    <font>
      <b/>
      <sz val="11"/>
      <color theme="7" tint="-0.499984740745262"/>
      <name val="Calibri"/>
      <family val="2"/>
      <scheme val="minor"/>
    </font>
    <font>
      <b/>
      <sz val="11"/>
      <color indexed="8"/>
      <name val="Calibri"/>
      <family val="2"/>
      <scheme val="minor"/>
    </font>
    <font>
      <b/>
      <sz val="11"/>
      <color theme="9" tint="-0.499984740745262"/>
      <name val="Calibri"/>
      <family val="2"/>
      <scheme val="minor"/>
    </font>
    <font>
      <sz val="11"/>
      <color indexed="8"/>
      <name val="Calibri"/>
      <family val="2"/>
      <scheme val="minor"/>
    </font>
    <font>
      <b/>
      <sz val="11"/>
      <color rgb="FFFF0000"/>
      <name val="Calibri"/>
      <family val="2"/>
      <scheme val="minor"/>
    </font>
  </fonts>
  <fills count="22">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D6FAFE"/>
        <bgColor indexed="64"/>
      </patternFill>
    </fill>
    <fill>
      <patternFill patternType="solid">
        <fgColor theme="0" tint="-4.9989318521683403E-2"/>
        <bgColor indexed="64"/>
      </patternFill>
    </fill>
    <fill>
      <patternFill patternType="solid">
        <fgColor rgb="FFB9F7FD"/>
        <bgColor indexed="64"/>
      </patternFill>
    </fill>
    <fill>
      <patternFill patternType="solid">
        <fgColor rgb="FFFFFFAF"/>
        <bgColor indexed="64"/>
      </patternFill>
    </fill>
    <fill>
      <patternFill patternType="solid">
        <fgColor rgb="FFE1FFF0"/>
        <bgColor indexed="64"/>
      </patternFill>
    </fill>
    <fill>
      <patternFill patternType="solid">
        <fgColor rgb="FFBDFFDE"/>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0" fillId="0" borderId="0" xfId="0" applyAlignment="1">
      <alignment horizontal="right"/>
    </xf>
    <xf numFmtId="0" fontId="0" fillId="3" borderId="1"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2" xfId="0" applyFill="1" applyBorder="1"/>
    <xf numFmtId="0" fontId="0" fillId="2" borderId="3" xfId="0" applyFill="1" applyBorder="1"/>
    <xf numFmtId="0" fontId="0" fillId="5" borderId="0" xfId="0" applyFill="1"/>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vertical="top"/>
    </xf>
    <xf numFmtId="0" fontId="0" fillId="4" borderId="12" xfId="0" applyFill="1" applyBorder="1"/>
    <xf numFmtId="0" fontId="0" fillId="3" borderId="13" xfId="0" applyFill="1" applyBorder="1"/>
    <xf numFmtId="0" fontId="0" fillId="0" borderId="14" xfId="0" applyBorder="1" applyAlignment="1">
      <alignment horizontal="center" vertical="top"/>
    </xf>
    <xf numFmtId="0" fontId="0" fillId="7" borderId="13" xfId="0" applyFill="1" applyBorder="1"/>
    <xf numFmtId="0" fontId="0" fillId="8" borderId="12" xfId="0" applyFill="1" applyBorder="1"/>
    <xf numFmtId="0" fontId="0" fillId="11" borderId="0" xfId="0" applyFill="1"/>
    <xf numFmtId="0" fontId="0" fillId="7" borderId="19" xfId="0" applyFill="1" applyBorder="1"/>
    <xf numFmtId="0" fontId="0" fillId="3" borderId="19" xfId="0" applyFill="1" applyBorder="1"/>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Alignment="1">
      <alignment horizontal="center" vertical="top"/>
    </xf>
    <xf numFmtId="0" fontId="0" fillId="0" borderId="0" xfId="0" applyAlignment="1">
      <alignment horizontal="left" vertical="top"/>
    </xf>
    <xf numFmtId="0" fontId="0" fillId="0" borderId="13" xfId="0" applyBorder="1" applyAlignment="1">
      <alignment vertical="top"/>
    </xf>
    <xf numFmtId="0" fontId="0" fillId="7" borderId="14" xfId="0" applyFill="1" applyBorder="1"/>
    <xf numFmtId="39" fontId="0" fillId="0" borderId="0" xfId="1" applyNumberFormat="1" applyFont="1"/>
    <xf numFmtId="39" fontId="0" fillId="3" borderId="22" xfId="1" applyNumberFormat="1" applyFont="1" applyFill="1" applyBorder="1"/>
    <xf numFmtId="0" fontId="0" fillId="4" borderId="13" xfId="0" applyFill="1" applyBorder="1" applyProtection="1">
      <protection locked="0"/>
    </xf>
    <xf numFmtId="10" fontId="0" fillId="4" borderId="13" xfId="2" applyNumberFormat="1" applyFont="1" applyFill="1" applyBorder="1" applyProtection="1">
      <protection locked="0"/>
    </xf>
    <xf numFmtId="0" fontId="0" fillId="4" borderId="12" xfId="0" applyFill="1" applyBorder="1" applyProtection="1">
      <protection locked="0"/>
    </xf>
    <xf numFmtId="0" fontId="0" fillId="6" borderId="13" xfId="0" applyFill="1" applyBorder="1" applyProtection="1">
      <protection locked="0"/>
    </xf>
    <xf numFmtId="10" fontId="0" fillId="6" borderId="13" xfId="2" applyNumberFormat="1" applyFont="1" applyFill="1" applyBorder="1" applyProtection="1">
      <protection locked="0"/>
    </xf>
    <xf numFmtId="0" fontId="0" fillId="4" borderId="13" xfId="0" applyFill="1" applyBorder="1" applyAlignment="1" applyProtection="1">
      <alignment horizontal="center"/>
      <protection locked="0"/>
    </xf>
    <xf numFmtId="0" fontId="0" fillId="6" borderId="13" xfId="0" applyFill="1" applyBorder="1" applyAlignment="1" applyProtection="1">
      <alignment horizontal="center"/>
      <protection locked="0"/>
    </xf>
    <xf numFmtId="39" fontId="0" fillId="4" borderId="22" xfId="1" applyNumberFormat="1" applyFont="1" applyFill="1" applyBorder="1" applyProtection="1">
      <protection locked="0"/>
    </xf>
    <xf numFmtId="0" fontId="9" fillId="0" borderId="13" xfId="0" applyFont="1" applyBorder="1" applyAlignment="1">
      <alignment horizontal="center" vertical="top"/>
    </xf>
    <xf numFmtId="0" fontId="0" fillId="4" borderId="19" xfId="0" applyFill="1" applyBorder="1" applyProtection="1">
      <protection locked="0"/>
    </xf>
    <xf numFmtId="0" fontId="0" fillId="6" borderId="19" xfId="0" applyFill="1" applyBorder="1" applyProtection="1">
      <protection locked="0"/>
    </xf>
    <xf numFmtId="0" fontId="0" fillId="4" borderId="18" xfId="0" applyFill="1" applyBorder="1" applyProtection="1">
      <protection locked="0"/>
    </xf>
    <xf numFmtId="0" fontId="0" fillId="6" borderId="23" xfId="0" applyFill="1" applyBorder="1" applyProtection="1">
      <protection locked="0"/>
    </xf>
    <xf numFmtId="0" fontId="0" fillId="4" borderId="23" xfId="0" applyFill="1" applyBorder="1" applyProtection="1">
      <protection locked="0"/>
    </xf>
    <xf numFmtId="10" fontId="0" fillId="4" borderId="12" xfId="2" applyNumberFormat="1" applyFont="1" applyFill="1" applyBorder="1" applyAlignment="1" applyProtection="1">
      <alignment horizontal="center"/>
      <protection locked="0"/>
    </xf>
    <xf numFmtId="10" fontId="0" fillId="6" borderId="13" xfId="2" applyNumberFormat="1" applyFont="1" applyFill="1" applyBorder="1" applyAlignment="1" applyProtection="1">
      <alignment horizontal="center"/>
      <protection locked="0"/>
    </xf>
    <xf numFmtId="10" fontId="0" fillId="4" borderId="13" xfId="2" applyNumberFormat="1" applyFont="1" applyFill="1" applyBorder="1" applyAlignment="1" applyProtection="1">
      <alignment horizontal="center"/>
      <protection locked="0"/>
    </xf>
    <xf numFmtId="10" fontId="0" fillId="6" borderId="14" xfId="2" applyNumberFormat="1" applyFont="1" applyFill="1" applyBorder="1" applyAlignment="1" applyProtection="1">
      <alignment horizontal="center"/>
      <protection locked="0"/>
    </xf>
    <xf numFmtId="0" fontId="0" fillId="0" borderId="12" xfId="0" quotePrefix="1" applyBorder="1" applyAlignment="1">
      <alignment horizontal="center" vertical="top"/>
    </xf>
    <xf numFmtId="39" fontId="0" fillId="4" borderId="13" xfId="1" applyNumberFormat="1" applyFont="1" applyFill="1" applyBorder="1" applyProtection="1">
      <protection locked="0"/>
    </xf>
    <xf numFmtId="39" fontId="0" fillId="6" borderId="13" xfId="1" applyNumberFormat="1" applyFont="1" applyFill="1" applyBorder="1" applyProtection="1">
      <protection locked="0"/>
    </xf>
    <xf numFmtId="0" fontId="0" fillId="2" borderId="0" xfId="0" applyFill="1"/>
    <xf numFmtId="0" fontId="0" fillId="19" borderId="2" xfId="0" applyFill="1" applyBorder="1" applyAlignment="1">
      <alignment horizontal="right"/>
    </xf>
    <xf numFmtId="0" fontId="0" fillId="19" borderId="3" xfId="0" applyFill="1" applyBorder="1" applyAlignment="1">
      <alignment horizontal="center"/>
    </xf>
    <xf numFmtId="0" fontId="0" fillId="19" borderId="21" xfId="0" applyFill="1" applyBorder="1" applyAlignment="1">
      <alignment horizontal="center"/>
    </xf>
    <xf numFmtId="0" fontId="0" fillId="19" borderId="2" xfId="0" applyFill="1" applyBorder="1"/>
    <xf numFmtId="0" fontId="0" fillId="19" borderId="21" xfId="0" applyFill="1" applyBorder="1" applyAlignment="1">
      <alignment horizontal="right"/>
    </xf>
    <xf numFmtId="39" fontId="0" fillId="19" borderId="3" xfId="1" applyNumberFormat="1" applyFont="1" applyFill="1" applyBorder="1"/>
    <xf numFmtId="0" fontId="0" fillId="19" borderId="17" xfId="0" applyFill="1" applyBorder="1" applyAlignment="1">
      <alignment horizontal="center"/>
    </xf>
    <xf numFmtId="0" fontId="0" fillId="19" borderId="15" xfId="0" applyFill="1" applyBorder="1"/>
    <xf numFmtId="0" fontId="0" fillId="19" borderId="11" xfId="0" applyFill="1" applyBorder="1"/>
    <xf numFmtId="0" fontId="0" fillId="19" borderId="10" xfId="0" applyFill="1" applyBorder="1"/>
    <xf numFmtId="39" fontId="0" fillId="3" borderId="17" xfId="1" applyNumberFormat="1" applyFont="1" applyFill="1" applyBorder="1"/>
    <xf numFmtId="43" fontId="0" fillId="0" borderId="0" xfId="1" applyFont="1" applyProtection="1"/>
    <xf numFmtId="0" fontId="0" fillId="0" borderId="0" xfId="0" applyAlignment="1">
      <alignment horizontal="left"/>
    </xf>
    <xf numFmtId="0" fontId="0" fillId="0" borderId="16" xfId="0" applyBorder="1" applyAlignment="1">
      <alignment horizontal="center"/>
    </xf>
    <xf numFmtId="0" fontId="0" fillId="0" borderId="18" xfId="0" applyBorder="1" applyAlignment="1">
      <alignment horizontal="center"/>
    </xf>
    <xf numFmtId="0" fontId="0" fillId="0" borderId="12" xfId="0" applyBorder="1" applyAlignment="1">
      <alignment horizontal="center"/>
    </xf>
    <xf numFmtId="0" fontId="0" fillId="0" borderId="12" xfId="0" applyBorder="1"/>
    <xf numFmtId="0" fontId="0" fillId="0" borderId="13" xfId="0" applyBorder="1" applyAlignment="1">
      <alignment horizontal="center"/>
    </xf>
    <xf numFmtId="0" fontId="0" fillId="2" borderId="0" xfId="0" applyFill="1" applyAlignment="1">
      <alignment horizontal="center"/>
    </xf>
    <xf numFmtId="0" fontId="0" fillId="10" borderId="0" xfId="0" applyFill="1" applyAlignment="1">
      <alignment horizontal="center"/>
    </xf>
    <xf numFmtId="43" fontId="0" fillId="17" borderId="0" xfId="1" applyFont="1" applyFill="1" applyAlignment="1" applyProtection="1">
      <alignment horizontal="center"/>
    </xf>
    <xf numFmtId="43" fontId="0" fillId="13" borderId="0" xfId="1" applyFont="1" applyFill="1" applyAlignment="1" applyProtection="1">
      <alignment horizontal="center"/>
    </xf>
    <xf numFmtId="0" fontId="0" fillId="16" borderId="0" xfId="0" applyFill="1" applyAlignment="1">
      <alignment horizontal="center"/>
    </xf>
    <xf numFmtId="0" fontId="0" fillId="15" borderId="0" xfId="0" applyFill="1" applyAlignment="1">
      <alignment horizontal="center"/>
    </xf>
    <xf numFmtId="0" fontId="0" fillId="11" borderId="0" xfId="0" applyFill="1" applyAlignment="1">
      <alignment horizontal="center"/>
    </xf>
    <xf numFmtId="43" fontId="0" fillId="15" borderId="0" xfId="1" applyFont="1" applyFill="1" applyAlignment="1" applyProtection="1">
      <alignment horizontal="center"/>
    </xf>
    <xf numFmtId="0" fontId="0" fillId="19" borderId="10" xfId="0" applyFill="1" applyBorder="1" applyAlignment="1">
      <alignment horizontal="center"/>
    </xf>
    <xf numFmtId="0" fontId="0" fillId="19" borderId="15" xfId="0" applyFill="1" applyBorder="1" applyAlignment="1">
      <alignment horizontal="center" vertical="top"/>
    </xf>
    <xf numFmtId="0" fontId="0" fillId="19" borderId="2" xfId="0" applyFill="1" applyBorder="1" applyAlignment="1">
      <alignment horizontal="right" vertical="top"/>
    </xf>
    <xf numFmtId="0" fontId="0" fillId="19" borderId="15" xfId="0" applyFill="1" applyBorder="1" applyAlignment="1">
      <alignment horizontal="center"/>
    </xf>
    <xf numFmtId="39" fontId="0" fillId="19" borderId="3" xfId="1" applyNumberFormat="1" applyFont="1" applyFill="1" applyBorder="1" applyAlignment="1" applyProtection="1">
      <alignment horizontal="center"/>
    </xf>
    <xf numFmtId="0" fontId="0" fillId="19" borderId="11" xfId="0" applyFill="1" applyBorder="1" applyAlignment="1">
      <alignment horizontal="center"/>
    </xf>
    <xf numFmtId="0" fontId="0" fillId="0" borderId="0" xfId="0" quotePrefix="1"/>
    <xf numFmtId="0" fontId="8" fillId="0" borderId="0" xfId="0" applyFont="1"/>
    <xf numFmtId="43" fontId="0" fillId="14" borderId="0" xfId="1" applyFont="1" applyFill="1" applyProtection="1"/>
    <xf numFmtId="0" fontId="0" fillId="0" borderId="0" xfId="0" applyAlignment="1">
      <alignment vertical="center"/>
    </xf>
    <xf numFmtId="0" fontId="0" fillId="13" borderId="0" xfId="0" applyFill="1"/>
    <xf numFmtId="0" fontId="0" fillId="18" borderId="0" xfId="0" applyFill="1"/>
    <xf numFmtId="0" fontId="0" fillId="2" borderId="24" xfId="0" applyFill="1" applyBorder="1"/>
    <xf numFmtId="0" fontId="0" fillId="2" borderId="25" xfId="0" applyFill="1" applyBorder="1" applyAlignment="1">
      <alignment horizontal="center"/>
    </xf>
    <xf numFmtId="0" fontId="0" fillId="2" borderId="26" xfId="0" applyFill="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8" fillId="0" borderId="0" xfId="0" applyFont="1" applyProtection="1">
      <protection locked="0"/>
    </xf>
    <xf numFmtId="39" fontId="0" fillId="19" borderId="21" xfId="1" applyNumberFormat="1" applyFont="1" applyFill="1" applyBorder="1" applyAlignment="1">
      <alignment horizontal="center"/>
    </xf>
    <xf numFmtId="43" fontId="0" fillId="3" borderId="19" xfId="1" applyFont="1" applyFill="1" applyBorder="1"/>
    <xf numFmtId="0" fontId="0" fillId="19" borderId="1" xfId="0" applyFill="1" applyBorder="1"/>
    <xf numFmtId="0" fontId="0" fillId="21" borderId="0" xfId="0" applyFill="1" applyAlignment="1">
      <alignment horizontal="center"/>
    </xf>
    <xf numFmtId="0" fontId="0" fillId="20" borderId="0" xfId="0" applyFill="1"/>
    <xf numFmtId="0" fontId="11" fillId="0" borderId="0" xfId="0" applyFont="1" applyAlignment="1">
      <alignment wrapText="1"/>
    </xf>
    <xf numFmtId="0" fontId="11" fillId="0" borderId="0" xfId="0" applyFont="1"/>
    <xf numFmtId="0" fontId="10" fillId="2" borderId="0" xfId="0" applyFont="1" applyFill="1" applyAlignment="1">
      <alignment horizontal="left" wrapText="1"/>
    </xf>
    <xf numFmtId="0" fontId="10" fillId="0" borderId="0" xfId="0" applyFont="1"/>
    <xf numFmtId="0" fontId="0" fillId="0" borderId="0" xfId="0" applyAlignment="1">
      <alignment wrapText="1"/>
    </xf>
    <xf numFmtId="0" fontId="14" fillId="2" borderId="0" xfId="0" applyFont="1" applyFill="1" applyAlignment="1">
      <alignment horizontal="left" wrapText="1"/>
    </xf>
    <xf numFmtId="0" fontId="14" fillId="0" borderId="0" xfId="0" applyFont="1"/>
    <xf numFmtId="0" fontId="16" fillId="0" borderId="0" xfId="0" applyFont="1" applyAlignment="1">
      <alignment wrapText="1"/>
    </xf>
    <xf numFmtId="0" fontId="0" fillId="19" borderId="3" xfId="0" applyFill="1" applyBorder="1"/>
    <xf numFmtId="0" fontId="10" fillId="19" borderId="2" xfId="0" applyFont="1" applyFill="1" applyBorder="1"/>
    <xf numFmtId="43" fontId="0" fillId="3" borderId="13" xfId="1" applyFont="1" applyFill="1" applyBorder="1" applyProtection="1"/>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9" fontId="0" fillId="4" borderId="13" xfId="2" applyFont="1" applyFill="1" applyBorder="1" applyProtection="1">
      <protection locked="0"/>
    </xf>
    <xf numFmtId="49" fontId="0" fillId="0" borderId="0" xfId="0" applyNumberFormat="1"/>
    <xf numFmtId="49" fontId="0" fillId="0" borderId="12" xfId="0" applyNumberFormat="1" applyBorder="1" applyAlignment="1">
      <alignment horizontal="center" vertical="top"/>
    </xf>
    <xf numFmtId="49" fontId="0" fillId="0" borderId="13" xfId="0" applyNumberFormat="1" applyBorder="1" applyAlignment="1">
      <alignment horizontal="center" vertical="top"/>
    </xf>
    <xf numFmtId="49" fontId="0" fillId="0" borderId="14" xfId="0" applyNumberFormat="1" applyBorder="1" applyAlignment="1">
      <alignment vertical="top"/>
    </xf>
    <xf numFmtId="49" fontId="0" fillId="19" borderId="15" xfId="0" applyNumberFormat="1" applyFill="1" applyBorder="1"/>
    <xf numFmtId="49" fontId="0" fillId="8" borderId="12" xfId="0" applyNumberFormat="1" applyFill="1" applyBorder="1" applyProtection="1">
      <protection locked="0"/>
    </xf>
    <xf numFmtId="49" fontId="0" fillId="9" borderId="13" xfId="0" applyNumberFormat="1" applyFill="1" applyBorder="1" applyProtection="1">
      <protection locked="0"/>
    </xf>
    <xf numFmtId="49" fontId="0" fillId="8" borderId="13" xfId="0" applyNumberFormat="1" applyFill="1" applyBorder="1" applyProtection="1">
      <protection locked="0"/>
    </xf>
    <xf numFmtId="0" fontId="7" fillId="0" borderId="0" xfId="0" applyFont="1"/>
    <xf numFmtId="0" fontId="0" fillId="3" borderId="13" xfId="0" applyFill="1" applyBorder="1" applyAlignment="1">
      <alignment horizontal="right"/>
    </xf>
    <xf numFmtId="0" fontId="0" fillId="7" borderId="13" xfId="0" applyFill="1" applyBorder="1" applyAlignment="1">
      <alignment horizontal="right"/>
    </xf>
    <xf numFmtId="2" fontId="0" fillId="4" borderId="13" xfId="0" applyNumberFormat="1" applyFill="1" applyBorder="1" applyProtection="1">
      <protection locked="0"/>
    </xf>
    <xf numFmtId="2" fontId="0" fillId="6" borderId="13" xfId="0" applyNumberFormat="1" applyFill="1" applyBorder="1" applyProtection="1">
      <protection locked="0"/>
    </xf>
    <xf numFmtId="0" fontId="2" fillId="2" borderId="2" xfId="0" applyFont="1" applyFill="1" applyBorder="1" applyAlignment="1">
      <alignment horizontal="center"/>
    </xf>
    <xf numFmtId="0" fontId="0" fillId="0" borderId="3" xfId="0" applyBorder="1" applyAlignment="1">
      <alignment horizont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4" fillId="0" borderId="20" xfId="0" applyFont="1" applyBorder="1" applyAlignment="1">
      <alignment horizontal="center"/>
    </xf>
    <xf numFmtId="0" fontId="0" fillId="0" borderId="20" xfId="0" applyBorder="1" applyAlignment="1">
      <alignment horizontal="center"/>
    </xf>
    <xf numFmtId="0" fontId="4" fillId="12" borderId="16" xfId="0" applyFont="1" applyFill="1" applyBorder="1" applyAlignment="1">
      <alignment horizontal="center"/>
    </xf>
    <xf numFmtId="0" fontId="4" fillId="12" borderId="17" xfId="0" applyFont="1" applyFill="1" applyBorder="1" applyAlignment="1">
      <alignment horizontal="center"/>
    </xf>
    <xf numFmtId="0" fontId="4" fillId="12" borderId="18" xfId="0" applyFont="1" applyFill="1" applyBorder="1" applyAlignment="1">
      <alignment horizontal="center"/>
    </xf>
    <xf numFmtId="0" fontId="4" fillId="10" borderId="10" xfId="0" applyFont="1" applyFill="1" applyBorder="1" applyAlignment="1">
      <alignment horizontal="center"/>
    </xf>
    <xf numFmtId="0" fontId="4" fillId="10" borderId="15" xfId="0" applyFont="1" applyFill="1" applyBorder="1" applyAlignment="1">
      <alignment horizontal="center"/>
    </xf>
    <xf numFmtId="0" fontId="4" fillId="10" borderId="11" xfId="0" applyFont="1" applyFill="1" applyBorder="1" applyAlignment="1">
      <alignment horizontal="center"/>
    </xf>
    <xf numFmtId="0" fontId="0" fillId="3" borderId="10" xfId="0" applyFill="1" applyBorder="1" applyAlignment="1">
      <alignment horizontal="left"/>
    </xf>
    <xf numFmtId="0" fontId="0" fillId="3" borderId="15" xfId="0" applyFill="1" applyBorder="1" applyAlignment="1">
      <alignment horizontal="left"/>
    </xf>
    <xf numFmtId="0" fontId="0" fillId="0" borderId="15" xfId="0" applyBorder="1" applyAlignment="1">
      <alignment horizontal="left"/>
    </xf>
    <xf numFmtId="0" fontId="0" fillId="0" borderId="11" xfId="0" applyBorder="1" applyAlignment="1">
      <alignment horizontal="left"/>
    </xf>
    <xf numFmtId="0" fontId="0" fillId="4" borderId="1" xfId="0" applyFill="1" applyBorder="1" applyAlignment="1" applyProtection="1">
      <alignment horizontal="left"/>
      <protection locked="0"/>
    </xf>
    <xf numFmtId="0" fontId="0" fillId="0" borderId="0" xfId="0"/>
    <xf numFmtId="0" fontId="0" fillId="0" borderId="19" xfId="0" applyBorder="1" applyAlignment="1">
      <alignment horizontal="center"/>
    </xf>
    <xf numFmtId="0" fontId="0" fillId="0" borderId="23" xfId="0" applyBorder="1" applyAlignment="1">
      <alignment horizontal="center"/>
    </xf>
    <xf numFmtId="0" fontId="0" fillId="3" borderId="1" xfId="0" applyFill="1" applyBorder="1" applyAlignment="1">
      <alignment horizontal="left"/>
    </xf>
    <xf numFmtId="0" fontId="0" fillId="0" borderId="0" xfId="0" applyAlignment="1">
      <alignment vertical="top" wrapText="1"/>
    </xf>
    <xf numFmtId="0" fontId="0" fillId="0" borderId="0" xfId="0" applyAlignment="1">
      <alignment vertical="top"/>
    </xf>
    <xf numFmtId="0" fontId="0" fillId="0" borderId="1" xfId="0" applyBorder="1" applyAlignment="1">
      <alignment horizontal="left"/>
    </xf>
  </cellXfs>
  <cellStyles count="3">
    <cellStyle name="Comma" xfId="1" builtinId="3"/>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theme="4" tint="-0.24994659260841701"/>
      </font>
      <fill>
        <patternFill>
          <bgColor theme="4" tint="0.79998168889431442"/>
        </patternFill>
      </fill>
    </dxf>
  </dxfs>
  <tableStyles count="0" defaultTableStyle="TableStyleMedium2" defaultPivotStyle="PivotStyleLight16"/>
  <colors>
    <mruColors>
      <color rgb="FFB9F7FD"/>
      <color rgb="FFFFFFCC"/>
      <color rgb="FFD6FAFE"/>
      <color rgb="FFBDFFDE"/>
      <color rgb="FFE1FFF0"/>
      <color rgb="FFFFFFA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7"/>
  <sheetViews>
    <sheetView tabSelected="1" zoomScaleNormal="100" workbookViewId="0">
      <selection activeCell="B2" sqref="B2"/>
    </sheetView>
  </sheetViews>
  <sheetFormatPr defaultRowHeight="14.75" x14ac:dyDescent="0.75"/>
  <cols>
    <col min="1" max="1" width="1.1328125" customWidth="1"/>
    <col min="2" max="2" width="36.40625" customWidth="1"/>
    <col min="3" max="3" width="96.26953125" customWidth="1"/>
  </cols>
  <sheetData>
    <row r="1" spans="2:3" ht="19.25" thickBot="1" x14ac:dyDescent="1.05">
      <c r="B1" s="132" t="s">
        <v>0</v>
      </c>
      <c r="C1" s="133"/>
    </row>
    <row r="2" spans="2:3" x14ac:dyDescent="0.75">
      <c r="B2" t="s">
        <v>1</v>
      </c>
    </row>
    <row r="3" spans="2:3" x14ac:dyDescent="0.75">
      <c r="B3" t="s">
        <v>596</v>
      </c>
    </row>
    <row r="4" spans="2:3" x14ac:dyDescent="0.75">
      <c r="B4" t="s">
        <v>2</v>
      </c>
    </row>
    <row r="6" spans="2:3" x14ac:dyDescent="0.75">
      <c r="B6" s="15" t="s">
        <v>3</v>
      </c>
    </row>
    <row r="7" spans="2:3" x14ac:dyDescent="0.75">
      <c r="B7" s="19" t="s">
        <v>4</v>
      </c>
    </row>
    <row r="8" spans="2:3" x14ac:dyDescent="0.75">
      <c r="B8" s="2" t="s">
        <v>5</v>
      </c>
    </row>
    <row r="9" spans="2:3" x14ac:dyDescent="0.75">
      <c r="B9" t="s">
        <v>6</v>
      </c>
    </row>
    <row r="10" spans="2:3" x14ac:dyDescent="0.75">
      <c r="B10" t="s">
        <v>7</v>
      </c>
    </row>
    <row r="11" spans="2:3" x14ac:dyDescent="0.75">
      <c r="B11" t="s">
        <v>8</v>
      </c>
    </row>
    <row r="12" spans="2:3" x14ac:dyDescent="0.75">
      <c r="B12" t="s">
        <v>9</v>
      </c>
    </row>
    <row r="13" spans="2:3" x14ac:dyDescent="0.75">
      <c r="B13" t="s">
        <v>10</v>
      </c>
    </row>
    <row r="14" spans="2:3" x14ac:dyDescent="0.75">
      <c r="B14" t="s">
        <v>21</v>
      </c>
    </row>
    <row r="15" spans="2:3" x14ac:dyDescent="0.75">
      <c r="B15" t="s">
        <v>22</v>
      </c>
    </row>
    <row r="16" spans="2:3" x14ac:dyDescent="0.75">
      <c r="B16" t="s">
        <v>23</v>
      </c>
    </row>
    <row r="17" spans="2:2" x14ac:dyDescent="0.75">
      <c r="B17" t="s">
        <v>24</v>
      </c>
    </row>
    <row r="18" spans="2:2" x14ac:dyDescent="0.75">
      <c r="B18" t="s">
        <v>11</v>
      </c>
    </row>
    <row r="19" spans="2:2" x14ac:dyDescent="0.75">
      <c r="B19" t="s">
        <v>25</v>
      </c>
    </row>
    <row r="20" spans="2:2" x14ac:dyDescent="0.75">
      <c r="B20" t="s">
        <v>12</v>
      </c>
    </row>
    <row r="22" spans="2:2" x14ac:dyDescent="0.75">
      <c r="B22" t="s">
        <v>13</v>
      </c>
    </row>
    <row r="24" spans="2:2" x14ac:dyDescent="0.75">
      <c r="B24" t="s">
        <v>14</v>
      </c>
    </row>
    <row r="25" spans="2:2" x14ac:dyDescent="0.75">
      <c r="B25" t="s">
        <v>15</v>
      </c>
    </row>
    <row r="26" spans="2:2" x14ac:dyDescent="0.75">
      <c r="B26" t="s">
        <v>26</v>
      </c>
    </row>
    <row r="28" spans="2:2" x14ac:dyDescent="0.75">
      <c r="B28" t="s">
        <v>16</v>
      </c>
    </row>
    <row r="30" spans="2:2" x14ac:dyDescent="0.75">
      <c r="B30" t="s">
        <v>17</v>
      </c>
    </row>
    <row r="31" spans="2:2" x14ac:dyDescent="0.75">
      <c r="B31" t="s">
        <v>18</v>
      </c>
    </row>
    <row r="32" spans="2:2" x14ac:dyDescent="0.75">
      <c r="B32" t="s">
        <v>19</v>
      </c>
    </row>
    <row r="33" spans="2:2" x14ac:dyDescent="0.75">
      <c r="B33" t="s">
        <v>20</v>
      </c>
    </row>
    <row r="34" spans="2:2" x14ac:dyDescent="0.75">
      <c r="B34" t="s">
        <v>27</v>
      </c>
    </row>
    <row r="35" spans="2:2" x14ac:dyDescent="0.75">
      <c r="B35" t="s">
        <v>29</v>
      </c>
    </row>
    <row r="36" spans="2:2" x14ac:dyDescent="0.75">
      <c r="B36" t="s">
        <v>28</v>
      </c>
    </row>
    <row r="37" spans="2:2" x14ac:dyDescent="0.75">
      <c r="B37" s="127" t="s">
        <v>597</v>
      </c>
    </row>
  </sheetData>
  <sheetProtection sheet="1" objects="1" scenarios="1"/>
  <mergeCells count="1">
    <mergeCell ref="B1:C1"/>
  </mergeCells>
  <pageMargins left="0.25" right="0.25"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04"/>
  <sheetViews>
    <sheetView showGridLines="0" topLeftCell="B9" zoomScaleNormal="100" workbookViewId="0">
      <selection activeCell="B14" sqref="B14"/>
    </sheetView>
  </sheetViews>
  <sheetFormatPr defaultRowHeight="14.75" x14ac:dyDescent="0.75"/>
  <cols>
    <col min="1" max="1" width="4" hidden="1" customWidth="1"/>
    <col min="2" max="3" width="16.1328125" customWidth="1"/>
    <col min="4" max="4" width="7.1328125" customWidth="1"/>
    <col min="5" max="5" width="13.1328125" bestFit="1" customWidth="1"/>
    <col min="6" max="6" width="15.1328125" bestFit="1" customWidth="1"/>
    <col min="7" max="7" width="21.7265625" customWidth="1"/>
    <col min="8" max="8" width="7.86328125" bestFit="1" customWidth="1"/>
    <col min="9" max="9" width="8.7265625" style="119" bestFit="1" customWidth="1"/>
    <col min="10" max="10" width="13.26953125" bestFit="1" customWidth="1"/>
    <col min="11" max="11" width="15.04296875" customWidth="1"/>
    <col min="12" max="15" width="12.7265625" customWidth="1"/>
    <col min="16" max="16" width="10.1328125" bestFit="1" customWidth="1"/>
    <col min="17" max="20" width="13.1328125" customWidth="1"/>
    <col min="21" max="21" width="10.86328125" customWidth="1"/>
    <col min="22" max="22" width="15" customWidth="1"/>
    <col min="23" max="23" width="12.54296875" customWidth="1"/>
    <col min="24" max="24" width="12.7265625" customWidth="1"/>
    <col min="25" max="25" width="14.31640625" customWidth="1"/>
    <col min="26" max="26" width="23.953125" customWidth="1"/>
    <col min="27" max="27" width="58.54296875" customWidth="1"/>
    <col min="28" max="28" width="56" customWidth="1"/>
    <col min="29" max="29" width="58.1328125" hidden="1" customWidth="1"/>
    <col min="30" max="30" width="27.54296875" hidden="1" customWidth="1"/>
    <col min="31" max="31" width="31.54296875" hidden="1" customWidth="1"/>
    <col min="32" max="32" width="33.54296875" hidden="1" customWidth="1"/>
    <col min="33" max="33" width="43.7265625" hidden="1" customWidth="1"/>
    <col min="34" max="34" width="46" hidden="1" customWidth="1"/>
    <col min="35" max="35" width="30.40625" hidden="1" customWidth="1"/>
    <col min="36" max="36" width="42.1328125" hidden="1" customWidth="1"/>
    <col min="37" max="37" width="41.54296875" hidden="1" customWidth="1"/>
    <col min="38" max="38" width="1.54296875" hidden="1" customWidth="1"/>
    <col min="39" max="39" width="8.86328125" hidden="1" customWidth="1"/>
    <col min="40" max="44" width="0" hidden="1" customWidth="1"/>
  </cols>
  <sheetData>
    <row r="1" spans="1:39" ht="18.5" x14ac:dyDescent="0.9">
      <c r="A1" s="24"/>
      <c r="B1" s="136" t="s">
        <v>46</v>
      </c>
      <c r="C1" s="137"/>
      <c r="D1" s="137"/>
      <c r="E1" s="137"/>
      <c r="F1" s="137"/>
      <c r="G1" s="137"/>
      <c r="H1" s="137"/>
      <c r="I1" s="137"/>
      <c r="J1" s="24"/>
      <c r="K1" s="24"/>
      <c r="L1" s="136" t="s">
        <v>47</v>
      </c>
      <c r="M1" s="137"/>
      <c r="N1" s="137"/>
      <c r="O1" s="137"/>
      <c r="P1" s="137"/>
      <c r="Q1" s="137"/>
      <c r="R1" s="137"/>
      <c r="S1" s="137"/>
      <c r="T1" s="137"/>
      <c r="U1" s="25"/>
      <c r="V1" s="136" t="s">
        <v>48</v>
      </c>
      <c r="W1" s="136"/>
      <c r="X1" s="136"/>
      <c r="Y1" s="136"/>
      <c r="Z1" s="136"/>
      <c r="AA1" s="152"/>
    </row>
    <row r="2" spans="1:39" x14ac:dyDescent="0.75">
      <c r="C2" s="1" t="s">
        <v>49</v>
      </c>
      <c r="D2" s="151"/>
      <c r="E2" s="151"/>
      <c r="F2" s="151"/>
      <c r="G2" s="151"/>
      <c r="H2" s="151"/>
      <c r="M2" s="1" t="s">
        <v>49</v>
      </c>
      <c r="N2" s="147" t="str">
        <f>IF(D2="","",D2)</f>
        <v/>
      </c>
      <c r="O2" s="148"/>
      <c r="P2" s="148"/>
      <c r="Q2" s="148"/>
      <c r="R2" s="149"/>
      <c r="S2" s="150"/>
      <c r="W2" s="1" t="s">
        <v>49</v>
      </c>
      <c r="X2" s="147" t="str">
        <f>IF(D2="","",D2)</f>
        <v/>
      </c>
      <c r="Y2" s="149"/>
      <c r="Z2" s="150"/>
    </row>
    <row r="3" spans="1:39" x14ac:dyDescent="0.75">
      <c r="C3" s="1" t="s">
        <v>51</v>
      </c>
      <c r="D3" s="151"/>
      <c r="E3" s="151"/>
      <c r="F3" s="151"/>
      <c r="G3" s="151"/>
      <c r="H3" s="151"/>
      <c r="M3" s="1" t="s">
        <v>51</v>
      </c>
      <c r="N3" s="147" t="str">
        <f>IF(D3="","",D3)</f>
        <v/>
      </c>
      <c r="O3" s="148"/>
      <c r="P3" s="148"/>
      <c r="Q3" s="148"/>
      <c r="R3" s="149"/>
      <c r="S3" s="150"/>
      <c r="W3" s="1" t="s">
        <v>51</v>
      </c>
      <c r="X3" s="147" t="str">
        <f>IF(O3="","",O3)</f>
        <v/>
      </c>
      <c r="Y3" s="149"/>
      <c r="Z3" s="150"/>
    </row>
    <row r="4" spans="1:39" x14ac:dyDescent="0.75">
      <c r="C4" s="1" t="s">
        <v>52</v>
      </c>
      <c r="D4" s="151"/>
      <c r="E4" s="151"/>
      <c r="F4" s="151"/>
      <c r="G4" s="151"/>
      <c r="H4" s="151"/>
      <c r="M4" s="1" t="s">
        <v>52</v>
      </c>
      <c r="N4" s="147" t="str">
        <f>IF(D4="","",D4)</f>
        <v/>
      </c>
      <c r="O4" s="148"/>
      <c r="P4" s="148"/>
      <c r="Q4" s="148"/>
      <c r="R4" s="149"/>
      <c r="S4" s="150"/>
      <c r="W4" s="1" t="s">
        <v>52</v>
      </c>
      <c r="X4" s="147" t="str">
        <f>IF(O4="","",O4)</f>
        <v/>
      </c>
      <c r="Y4" s="149"/>
      <c r="Z4" s="150"/>
    </row>
    <row r="5" spans="1:39" x14ac:dyDescent="0.75">
      <c r="C5" s="1" t="s">
        <v>389</v>
      </c>
      <c r="D5" s="151"/>
      <c r="E5" s="151"/>
      <c r="F5" s="151"/>
      <c r="G5" s="151"/>
      <c r="H5" s="151"/>
      <c r="M5" s="1" t="s">
        <v>389</v>
      </c>
      <c r="N5" s="147" t="str">
        <f>IF(D5="","",D5)</f>
        <v/>
      </c>
      <c r="O5" s="148"/>
      <c r="P5" s="148"/>
      <c r="Q5" s="148"/>
      <c r="R5" s="149"/>
      <c r="S5" s="150"/>
      <c r="W5" s="1" t="s">
        <v>389</v>
      </c>
      <c r="X5" s="147" t="str">
        <f>IF(O5="","",O5)</f>
        <v/>
      </c>
      <c r="Y5" s="149"/>
      <c r="Z5" s="150"/>
    </row>
    <row r="6" spans="1:39" x14ac:dyDescent="0.75">
      <c r="C6" s="1" t="s">
        <v>390</v>
      </c>
      <c r="D6" s="151"/>
      <c r="E6" s="151"/>
      <c r="F6" s="151"/>
      <c r="G6" s="151"/>
      <c r="H6" s="151"/>
      <c r="M6" s="1" t="s">
        <v>390</v>
      </c>
      <c r="N6" s="147" t="str">
        <f>IF(D6="","",D6)</f>
        <v/>
      </c>
      <c r="O6" s="148"/>
      <c r="P6" s="148"/>
      <c r="Q6" s="148"/>
      <c r="R6" s="149"/>
      <c r="S6" s="150"/>
      <c r="W6" s="1" t="s">
        <v>390</v>
      </c>
      <c r="X6" s="147" t="str">
        <f>IF(O6="","",O6)</f>
        <v/>
      </c>
      <c r="Y6" s="149"/>
      <c r="Z6" s="150"/>
    </row>
    <row r="7" spans="1:39" ht="16.75" thickBot="1" x14ac:dyDescent="0.95">
      <c r="A7" s="23"/>
      <c r="B7" s="138" t="s">
        <v>391</v>
      </c>
      <c r="C7" s="137"/>
      <c r="D7" s="137"/>
      <c r="E7" s="137"/>
      <c r="F7" s="137"/>
      <c r="G7" s="137"/>
      <c r="H7" s="137"/>
      <c r="I7" s="137"/>
      <c r="J7" s="23"/>
      <c r="K7" s="23" t="s">
        <v>406</v>
      </c>
      <c r="L7" s="139" t="s">
        <v>407</v>
      </c>
      <c r="M7" s="140"/>
      <c r="N7" s="140"/>
      <c r="O7" s="140"/>
      <c r="P7" s="140"/>
      <c r="Q7" s="140"/>
      <c r="R7" s="140"/>
      <c r="S7" s="140"/>
      <c r="T7" s="140"/>
      <c r="U7" s="25"/>
      <c r="V7" s="138" t="s">
        <v>395</v>
      </c>
      <c r="W7" s="138"/>
      <c r="X7" s="138"/>
      <c r="Y7" s="138"/>
      <c r="Z7" s="138"/>
    </row>
    <row r="8" spans="1:39" ht="16.75" thickBot="1" x14ac:dyDescent="0.95">
      <c r="B8" s="113" t="s">
        <v>590</v>
      </c>
      <c r="C8" s="112"/>
      <c r="L8" s="141" t="s">
        <v>588</v>
      </c>
      <c r="M8" s="142"/>
      <c r="N8" s="142"/>
      <c r="O8" s="142"/>
      <c r="P8" s="143"/>
      <c r="Q8" s="144" t="s">
        <v>589</v>
      </c>
      <c r="R8" s="145"/>
      <c r="S8" s="145"/>
      <c r="T8" s="146"/>
    </row>
    <row r="9" spans="1:39" x14ac:dyDescent="0.75">
      <c r="B9" s="13" t="s">
        <v>53</v>
      </c>
      <c r="C9" s="13" t="s">
        <v>54</v>
      </c>
      <c r="D9" s="12" t="s">
        <v>55</v>
      </c>
      <c r="E9" s="50" t="s">
        <v>457</v>
      </c>
      <c r="F9" s="12" t="s">
        <v>56</v>
      </c>
      <c r="G9" s="12" t="s">
        <v>57</v>
      </c>
      <c r="H9" s="12" t="s">
        <v>58</v>
      </c>
      <c r="I9" s="120" t="s">
        <v>59</v>
      </c>
      <c r="J9" s="12"/>
      <c r="K9" s="12" t="s">
        <v>59</v>
      </c>
      <c r="L9" s="12" t="s">
        <v>60</v>
      </c>
      <c r="M9" s="12" t="s">
        <v>61</v>
      </c>
      <c r="N9" s="12" t="s">
        <v>62</v>
      </c>
      <c r="O9" s="12" t="s">
        <v>63</v>
      </c>
      <c r="P9" s="12" t="s">
        <v>64</v>
      </c>
      <c r="Q9" s="12" t="s">
        <v>65</v>
      </c>
      <c r="R9" s="12" t="s">
        <v>66</v>
      </c>
      <c r="S9" s="12" t="s">
        <v>65</v>
      </c>
      <c r="T9" s="12" t="s">
        <v>66</v>
      </c>
      <c r="U9" s="12" t="s">
        <v>64</v>
      </c>
      <c r="V9" s="12" t="s">
        <v>59</v>
      </c>
      <c r="W9" s="12" t="s">
        <v>67</v>
      </c>
      <c r="X9" s="12" t="s">
        <v>55</v>
      </c>
      <c r="Y9" s="12" t="s">
        <v>68</v>
      </c>
      <c r="Z9" s="12" t="s">
        <v>69</v>
      </c>
      <c r="AA9" s="12" t="s">
        <v>396</v>
      </c>
      <c r="AB9" s="12" t="s">
        <v>396</v>
      </c>
      <c r="AC9" s="26"/>
    </row>
    <row r="10" spans="1:39" x14ac:dyDescent="0.75">
      <c r="B10" s="13" t="s">
        <v>70</v>
      </c>
      <c r="C10" s="13" t="s">
        <v>71</v>
      </c>
      <c r="D10" s="13" t="s">
        <v>72</v>
      </c>
      <c r="E10" s="13" t="s">
        <v>55</v>
      </c>
      <c r="F10" s="13" t="s">
        <v>73</v>
      </c>
      <c r="G10" s="13" t="s">
        <v>392</v>
      </c>
      <c r="H10" s="13" t="s">
        <v>74</v>
      </c>
      <c r="I10" s="121" t="s">
        <v>75</v>
      </c>
      <c r="J10" s="13" t="s">
        <v>76</v>
      </c>
      <c r="K10" s="13" t="s">
        <v>70</v>
      </c>
      <c r="L10" s="13" t="s">
        <v>77</v>
      </c>
      <c r="M10" s="13" t="s">
        <v>405</v>
      </c>
      <c r="N10" s="13" t="s">
        <v>78</v>
      </c>
      <c r="O10" s="13" t="s">
        <v>79</v>
      </c>
      <c r="P10" s="13" t="s">
        <v>63</v>
      </c>
      <c r="Q10" s="13" t="s">
        <v>80</v>
      </c>
      <c r="R10" s="13" t="s">
        <v>65</v>
      </c>
      <c r="S10" s="13" t="s">
        <v>80</v>
      </c>
      <c r="T10" s="13" t="s">
        <v>65</v>
      </c>
      <c r="U10" s="13" t="s">
        <v>81</v>
      </c>
      <c r="V10" s="13" t="s">
        <v>70</v>
      </c>
      <c r="W10" s="13" t="s">
        <v>82</v>
      </c>
      <c r="X10" s="13" t="s">
        <v>82</v>
      </c>
      <c r="Y10" s="13" t="s">
        <v>83</v>
      </c>
      <c r="Z10" s="13" t="s">
        <v>84</v>
      </c>
      <c r="AA10" s="13"/>
      <c r="AB10" s="13"/>
      <c r="AC10" s="26"/>
    </row>
    <row r="11" spans="1:39" x14ac:dyDescent="0.75">
      <c r="B11" s="13" t="s">
        <v>68</v>
      </c>
      <c r="C11" s="13" t="s">
        <v>85</v>
      </c>
      <c r="D11" s="13" t="s">
        <v>86</v>
      </c>
      <c r="E11" s="13" t="s">
        <v>96</v>
      </c>
      <c r="F11" s="13" t="s">
        <v>87</v>
      </c>
      <c r="G11" s="13" t="s">
        <v>393</v>
      </c>
      <c r="H11" s="13" t="s">
        <v>88</v>
      </c>
      <c r="I11" s="121" t="s">
        <v>68</v>
      </c>
      <c r="J11" s="13" t="s">
        <v>89</v>
      </c>
      <c r="K11" s="13" t="s">
        <v>68</v>
      </c>
      <c r="L11" s="13" t="s">
        <v>90</v>
      </c>
      <c r="M11" s="13" t="s">
        <v>90</v>
      </c>
      <c r="N11" s="13" t="s">
        <v>90</v>
      </c>
      <c r="O11" s="13" t="s">
        <v>90</v>
      </c>
      <c r="P11" s="13" t="s">
        <v>91</v>
      </c>
      <c r="Q11" s="13" t="s">
        <v>78</v>
      </c>
      <c r="R11" s="13" t="s">
        <v>78</v>
      </c>
      <c r="S11" s="13" t="s">
        <v>92</v>
      </c>
      <c r="T11" s="13" t="s">
        <v>93</v>
      </c>
      <c r="U11" s="13" t="s">
        <v>90</v>
      </c>
      <c r="V11" s="13" t="s">
        <v>68</v>
      </c>
      <c r="W11" s="13" t="s">
        <v>94</v>
      </c>
      <c r="X11" s="13" t="s">
        <v>86</v>
      </c>
      <c r="Y11" s="13" t="s">
        <v>95</v>
      </c>
      <c r="Z11" s="13" t="s">
        <v>85</v>
      </c>
      <c r="AA11" s="13"/>
      <c r="AB11" s="13"/>
      <c r="AC11" s="26"/>
    </row>
    <row r="12" spans="1:39" ht="15.5" thickBot="1" x14ac:dyDescent="0.9">
      <c r="B12" s="28"/>
      <c r="C12" s="28"/>
      <c r="D12" s="28"/>
      <c r="E12" s="17" t="s">
        <v>449</v>
      </c>
      <c r="F12" s="14"/>
      <c r="G12" s="17" t="s">
        <v>394</v>
      </c>
      <c r="H12" s="17" t="s">
        <v>97</v>
      </c>
      <c r="I12" s="122"/>
      <c r="J12" s="14"/>
      <c r="K12" s="13"/>
      <c r="L12" s="13" t="s">
        <v>451</v>
      </c>
      <c r="M12" s="13" t="s">
        <v>451</v>
      </c>
      <c r="N12" s="40" t="s">
        <v>452</v>
      </c>
      <c r="O12" s="13" t="s">
        <v>450</v>
      </c>
      <c r="P12" s="13"/>
      <c r="Q12" s="134" t="s">
        <v>453</v>
      </c>
      <c r="R12" s="135"/>
      <c r="S12" s="135"/>
      <c r="T12" s="135"/>
      <c r="U12" s="13"/>
      <c r="V12" s="17"/>
      <c r="W12" s="13" t="s">
        <v>50</v>
      </c>
      <c r="X12" s="13"/>
      <c r="Y12" s="13"/>
      <c r="Z12" s="13"/>
      <c r="AA12" s="17"/>
      <c r="AB12" s="17"/>
      <c r="AC12" s="27" t="s">
        <v>403</v>
      </c>
      <c r="AD12" t="s">
        <v>397</v>
      </c>
      <c r="AE12" t="s">
        <v>398</v>
      </c>
      <c r="AF12" t="s">
        <v>399</v>
      </c>
      <c r="AG12" t="s">
        <v>401</v>
      </c>
      <c r="AH12" t="s">
        <v>402</v>
      </c>
      <c r="AI12" t="s">
        <v>404</v>
      </c>
      <c r="AJ12" t="s">
        <v>458</v>
      </c>
      <c r="AK12" t="s">
        <v>456</v>
      </c>
      <c r="AM12" t="s">
        <v>595</v>
      </c>
    </row>
    <row r="13" spans="1:39" ht="15.5" thickBot="1" x14ac:dyDescent="0.9">
      <c r="B13" s="57"/>
      <c r="C13" s="58" t="s">
        <v>400</v>
      </c>
      <c r="D13" s="59">
        <f>SUM(D14:D303)</f>
        <v>0</v>
      </c>
      <c r="E13" s="60"/>
      <c r="F13" s="61"/>
      <c r="G13" s="61"/>
      <c r="H13" s="61"/>
      <c r="I13" s="123"/>
      <c r="J13" s="62"/>
      <c r="K13" s="54" t="s">
        <v>98</v>
      </c>
      <c r="L13" s="56">
        <f t="shared" ref="L13:T13" si="0">SUM(L14:L303)</f>
        <v>0</v>
      </c>
      <c r="M13" s="56">
        <f t="shared" si="0"/>
        <v>0</v>
      </c>
      <c r="N13" s="56">
        <f t="shared" si="0"/>
        <v>0</v>
      </c>
      <c r="O13" s="56">
        <f t="shared" si="0"/>
        <v>0</v>
      </c>
      <c r="P13" s="56">
        <f t="shared" si="0"/>
        <v>0</v>
      </c>
      <c r="Q13" s="56">
        <f t="shared" si="0"/>
        <v>0</v>
      </c>
      <c r="R13" s="56">
        <f t="shared" si="0"/>
        <v>0</v>
      </c>
      <c r="S13" s="56">
        <f t="shared" si="0"/>
        <v>0</v>
      </c>
      <c r="T13" s="56">
        <f t="shared" si="0"/>
        <v>0</v>
      </c>
      <c r="U13" s="55">
        <f>SUM(U14:U303)</f>
        <v>0</v>
      </c>
      <c r="V13" s="63"/>
      <c r="W13" s="54" t="s">
        <v>98</v>
      </c>
      <c r="X13" s="55">
        <f>SUM(X14:X303)</f>
        <v>0</v>
      </c>
      <c r="Y13" s="54" t="s">
        <v>98</v>
      </c>
      <c r="Z13" s="99">
        <f>SUM(Z14:Z303)</f>
        <v>0</v>
      </c>
      <c r="AA13" s="101"/>
      <c r="AB13" s="101"/>
      <c r="AC13" s="11"/>
    </row>
    <row r="14" spans="1:39" x14ac:dyDescent="0.75">
      <c r="A14" s="1" t="s">
        <v>99</v>
      </c>
      <c r="B14" s="130"/>
      <c r="C14" s="118">
        <v>0</v>
      </c>
      <c r="D14" s="41">
        <v>0</v>
      </c>
      <c r="E14" s="46" t="s">
        <v>448</v>
      </c>
      <c r="F14" s="43">
        <v>0</v>
      </c>
      <c r="G14" s="34">
        <v>0</v>
      </c>
      <c r="H14" s="128" t="str">
        <f t="shared" ref="H14:H17" si="1">RIGHT(G14,4)</f>
        <v>0</v>
      </c>
      <c r="I14" s="124"/>
      <c r="J14" s="34">
        <v>0</v>
      </c>
      <c r="K14" s="16" t="str">
        <f t="shared" ref="K14:K17" si="2">IF(B14&lt;&gt;"",B14,"")</f>
        <v/>
      </c>
      <c r="L14" s="37">
        <v>0</v>
      </c>
      <c r="M14" s="37">
        <v>0</v>
      </c>
      <c r="N14" s="37">
        <v>0</v>
      </c>
      <c r="O14" s="37">
        <v>0</v>
      </c>
      <c r="P14" s="16">
        <f t="shared" ref="P14:P16" si="3">IF(AND(L14="",M14="",N14="",O14=""),"",SUM(L14:O14))</f>
        <v>0</v>
      </c>
      <c r="Q14" s="37">
        <v>0</v>
      </c>
      <c r="R14" s="37">
        <v>0</v>
      </c>
      <c r="S14" s="37">
        <v>0</v>
      </c>
      <c r="T14" s="37">
        <v>0</v>
      </c>
      <c r="U14" s="16">
        <f t="shared" ref="U14:U77" si="4">IFERROR(SUM(Q14:T14)+P14,0)</f>
        <v>0</v>
      </c>
      <c r="V14" s="16" t="str">
        <f t="shared" ref="V14:V16" si="5">IF(B14&lt;&gt;"",B14,"")</f>
        <v/>
      </c>
      <c r="W14" s="16">
        <f>IF(E14="Y",PAR!$C$12,IF(J14="","",IF(J14&lt;11,PAR!$C$6,IF(J14&lt;50,PAR!$C$7,IF(J14&lt;60,PAR!$C$8,IF(J14&lt;70,PAR!$C$9,IF(J14&lt;80,PAR!$C$10,IF(J14&gt;79,PAR!$C$11,0))))))))</f>
        <v>0.5</v>
      </c>
      <c r="X14" s="16">
        <f t="shared" ref="X14:X77" si="6">IF(D14="","",D14)</f>
        <v>0</v>
      </c>
      <c r="Y14" s="22">
        <f t="shared" ref="Y14:Y77" si="7">IF(F14="","",F14)</f>
        <v>0</v>
      </c>
      <c r="Z14" s="100" t="str">
        <f>IF(IFERROR(IF(E14="Y",(W14*(X14-PAR!$C$15)*Y14)*C14,IF(AA14&lt;&gt;"","See Comment",IFERROR(W14*X14*Y14*C14,"Fill all blue cells"))),"Fill all blue cells")&lt;0,0,(IFERROR(IF(E14="Y",(W14*(X14-PAR!$C$15)*Y14)*C14,IF(AA14&lt;&gt;"","See Comment",IFERROR(W14*X14*Y14*C14,"Fill all blue cells"))),"Fill all blue cells")))</f>
        <v>See Comment</v>
      </c>
      <c r="AA14" s="96" t="str">
        <f>IF(AC14="Non Bus Miles","",IF(AND(AC14="",AD14="",AE14="",AF14="",AG14="",AH14="",AI14="",AJ14="",AK14=""),"",AC14&amp;" "&amp;AD14&amp;""&amp;AE14&amp;""&amp;AF14&amp;""&amp;""&amp;AG14&amp;""&amp;AH14&amp;""&amp;AI14&amp;""&amp;AJ14&amp;""&amp;AK14))</f>
        <v xml:space="preserve"> Fill Rated Capacity (see column J),This route has no eligible riders (see columns L:O)</v>
      </c>
      <c r="AB14" s="115" t="str">
        <f>AM14</f>
        <v>You have recorded this as a type E multipurpose vehicle</v>
      </c>
      <c r="AC14" s="20" t="str">
        <f>IF(AND(E14="Y",D14&lt;PAR!C15),"Non bus miles are less than the minumum of 10 (see column D)",IF(AND(E14="Y",F14&lt;&gt;""),"Non Bus Miles",""))</f>
        <v/>
      </c>
      <c r="AD14" s="20" t="str">
        <f>IF(AND(E14="N",U14&gt;J14),"Riders Exceed Capacity of Bus,","")</f>
        <v/>
      </c>
      <c r="AE14" s="20" t="str">
        <f t="shared" ref="AE14:AE77" si="8">IF(OR(J14="",J14=0),"Fill Rated Capacity (see column J),","")</f>
        <v>Fill Rated Capacity (see column J),</v>
      </c>
      <c r="AF14" s="20" t="str">
        <f t="shared" ref="AF14:AF77" si="9">IF(F14&gt;180,"Exceeds the 180 Day Operating Limit (See Column F),","")</f>
        <v/>
      </c>
      <c r="AG14" s="20" t="str">
        <f t="shared" ref="AG14:AG77" si="10">IF(C14="","Fill reimbursement % for this LE (see column C)","")</f>
        <v/>
      </c>
      <c r="AH14" s="20" t="str">
        <f t="shared" ref="AH14:AH77" si="11">IF(OR(P14="",P14=0),"This route has no eligible riders (see columns L:O)","")</f>
        <v>This route has no eligible riders (see columns L:O)</v>
      </c>
      <c r="AI14" s="20" t="str">
        <f t="shared" ref="AI14:AI77" si="12">IF(D14="","Fill miles per day (see column D)","")</f>
        <v/>
      </c>
      <c r="AJ14" s="20" t="str">
        <f>IF(F14="","Fill number of operating days (see column F)","")</f>
        <v/>
      </c>
      <c r="AK14" s="20" t="str">
        <f>IF(OR(E14="Y",E14="N"),"","Fill Non-Bus Miles with Y or N (See column E)")</f>
        <v/>
      </c>
      <c r="AL14" s="98" t="s">
        <v>422</v>
      </c>
      <c r="AM14" s="20" t="str">
        <f>IF(AND(E14="N",J14&lt;11),"You have recorded this as a type E multipurpose vehicle","")</f>
        <v>You have recorded this as a type E multipurpose vehicle</v>
      </c>
    </row>
    <row r="15" spans="1:39" x14ac:dyDescent="0.75">
      <c r="A15" s="1" t="s">
        <v>100</v>
      </c>
      <c r="B15" s="131"/>
      <c r="C15" s="118">
        <v>0</v>
      </c>
      <c r="D15" s="41">
        <v>0</v>
      </c>
      <c r="E15" s="47" t="s">
        <v>448</v>
      </c>
      <c r="F15" s="43">
        <v>0</v>
      </c>
      <c r="G15" s="34">
        <v>0</v>
      </c>
      <c r="H15" s="129">
        <v>0</v>
      </c>
      <c r="I15" s="125"/>
      <c r="J15" s="34">
        <v>0</v>
      </c>
      <c r="K15" s="18" t="str">
        <f t="shared" si="2"/>
        <v/>
      </c>
      <c r="L15" s="38">
        <v>0</v>
      </c>
      <c r="M15" s="38">
        <v>0</v>
      </c>
      <c r="N15" s="38">
        <v>0</v>
      </c>
      <c r="O15" s="37">
        <v>0</v>
      </c>
      <c r="P15" s="18">
        <f t="shared" si="3"/>
        <v>0</v>
      </c>
      <c r="Q15" s="38">
        <v>0</v>
      </c>
      <c r="R15" s="38">
        <v>0</v>
      </c>
      <c r="S15" s="38">
        <v>0</v>
      </c>
      <c r="T15" s="38">
        <v>0</v>
      </c>
      <c r="U15" s="16">
        <f t="shared" si="4"/>
        <v>0</v>
      </c>
      <c r="V15" s="18" t="str">
        <f t="shared" si="5"/>
        <v/>
      </c>
      <c r="W15" s="18">
        <f>IF(E15="Y",PAR!$C$12,IF(J15="","",IF(J15&lt;11,PAR!$C$6,IF(J15&lt;50,PAR!$C$7,IF(J15&lt;60,PAR!$C$8,IF(J15&lt;70,PAR!$C$9,IF(J15&lt;80,PAR!$C$10,IF(J15&gt;79,PAR!$C$11,0))))))))</f>
        <v>0.5</v>
      </c>
      <c r="X15" s="18">
        <f t="shared" si="6"/>
        <v>0</v>
      </c>
      <c r="Y15" s="21">
        <f t="shared" si="7"/>
        <v>0</v>
      </c>
      <c r="Z15" s="100" t="str">
        <f>IF(IFERROR(IF(E15="Y",(W15*(X15-PAR!$C$15)*Y15)*C15,IF(AA15&lt;&gt;"","See Comment",IFERROR(W15*X15*Y15*C15,"Fill all blue cells"))),"Fill all blue cells")&lt;0,0,(IFERROR(IF(E15="Y",(W15*(X15-PAR!$C$15)*Y15)*C15,IF(AA15&lt;&gt;"","See Comment",IFERROR(W15*X15*Y15*C15,"Fill all blue cells"))),"Fill all blue cells")))</f>
        <v>See Comment</v>
      </c>
      <c r="AA15" s="96" t="str">
        <f t="shared" ref="AA15:AA78" si="13">IF(AC15="Non Bus Miles","",IF(AND(AC15="",AD15="",AE15="",AF15="",AG15="",AH15="",AI15="",AJ15="",AK15=""),"",AC15&amp;" "&amp;AD15&amp;""&amp;AE15&amp;""&amp;AF15&amp;""&amp;""&amp;AG15&amp;""&amp;AH15&amp;""&amp;AI15&amp;""&amp;AJ15&amp;""&amp;AK15))</f>
        <v xml:space="preserve"> Fill Rated Capacity (see column J),This route has no eligible riders (see columns L:O)</v>
      </c>
      <c r="AB15" s="116" t="str">
        <f t="shared" ref="AB15:AB78" si="14">AM15</f>
        <v>You have recorded this as a type E multipurpose vehicle</v>
      </c>
      <c r="AC15" s="20" t="str">
        <f>IF(AND(E15="Y",D15&lt;PAR!C16),"Non bus miles are less than the minumum of 10 (see column D)",IF(AND(E15="Y",F15&lt;&gt;""),"Non Bus Miles",""))</f>
        <v/>
      </c>
      <c r="AD15" s="20" t="str">
        <f t="shared" ref="AD15:AD78" si="15">IF(AND(E15="N",U15&gt;J15),"Riders Exceed Capacity of Bus,","")</f>
        <v/>
      </c>
      <c r="AE15" s="20" t="str">
        <f t="shared" si="8"/>
        <v>Fill Rated Capacity (see column J),</v>
      </c>
      <c r="AF15" s="20" t="str">
        <f t="shared" si="9"/>
        <v/>
      </c>
      <c r="AG15" s="20" t="str">
        <f t="shared" si="10"/>
        <v/>
      </c>
      <c r="AH15" s="20" t="str">
        <f t="shared" si="11"/>
        <v>This route has no eligible riders (see columns L:O)</v>
      </c>
      <c r="AI15" s="20" t="str">
        <f t="shared" si="12"/>
        <v/>
      </c>
      <c r="AJ15" s="20" t="str">
        <f t="shared" ref="AJ15:AJ78" si="16">IF(F15="","Fill number of operating days (see column F)","")</f>
        <v/>
      </c>
      <c r="AK15" s="20" t="str">
        <f t="shared" ref="AK15:AK78" si="17">IF(OR(E15="Y",E15="N"),"","Fill Non-Bus Miles with Y or N (See column E)")</f>
        <v/>
      </c>
      <c r="AL15" s="98" t="s">
        <v>422</v>
      </c>
      <c r="AM15" s="20" t="str">
        <f t="shared" ref="AM15:AM78" si="18">IF(AND(E15="N",J15&lt;11),"You have recorded this as a type E multipurpose vehicle","")</f>
        <v>You have recorded this as a type E multipurpose vehicle</v>
      </c>
    </row>
    <row r="16" spans="1:39" x14ac:dyDescent="0.75">
      <c r="A16" s="1" t="s">
        <v>101</v>
      </c>
      <c r="B16" s="130"/>
      <c r="C16" s="118">
        <v>0</v>
      </c>
      <c r="D16" s="41">
        <v>0</v>
      </c>
      <c r="E16" s="48" t="s">
        <v>448</v>
      </c>
      <c r="F16" s="43">
        <v>0</v>
      </c>
      <c r="G16" s="34">
        <v>0</v>
      </c>
      <c r="H16" s="128" t="str">
        <f t="shared" si="1"/>
        <v>0</v>
      </c>
      <c r="I16" s="126"/>
      <c r="J16" s="34">
        <v>0</v>
      </c>
      <c r="K16" s="16" t="str">
        <f t="shared" si="2"/>
        <v/>
      </c>
      <c r="L16" s="37">
        <v>0</v>
      </c>
      <c r="M16" s="37">
        <v>0</v>
      </c>
      <c r="N16" s="37">
        <v>0</v>
      </c>
      <c r="O16" s="37">
        <v>0</v>
      </c>
      <c r="P16" s="16">
        <f t="shared" si="3"/>
        <v>0</v>
      </c>
      <c r="Q16" s="37">
        <v>0</v>
      </c>
      <c r="R16" s="37">
        <v>0</v>
      </c>
      <c r="S16" s="37">
        <v>0</v>
      </c>
      <c r="T16" s="37">
        <v>0</v>
      </c>
      <c r="U16" s="16">
        <f t="shared" si="4"/>
        <v>0</v>
      </c>
      <c r="V16" s="16" t="str">
        <f t="shared" si="5"/>
        <v/>
      </c>
      <c r="W16" s="16">
        <f>IF(E16="Y",PAR!$C$12,IF(J16="","",IF(J16&lt;11,PAR!$C$6,IF(J16&lt;50,PAR!$C$7,IF(J16&lt;60,PAR!$C$8,IF(J16&lt;70,PAR!$C$9,IF(J16&lt;80,PAR!$C$10,IF(J16&gt;79,PAR!$C$11,0))))))))</f>
        <v>0.5</v>
      </c>
      <c r="X16" s="16">
        <f t="shared" si="6"/>
        <v>0</v>
      </c>
      <c r="Y16" s="22">
        <f t="shared" si="7"/>
        <v>0</v>
      </c>
      <c r="Z16" s="100" t="str">
        <f>IF(IFERROR(IF(E16="Y",(W16*(X16-PAR!$C$15)*Y16)*C16,IF(AA16&lt;&gt;"","See Comment",IFERROR(W16*X16*Y16*C16,"Fill all blue cells"))),"Fill all blue cells")&lt;0,0,(IFERROR(IF(E16="Y",(W16*(X16-PAR!$C$15)*Y16)*C16,IF(AA16&lt;&gt;"","See Comment",IFERROR(W16*X16*Y16*C16,"Fill all blue cells"))),"Fill all blue cells")))</f>
        <v>See Comment</v>
      </c>
      <c r="AA16" s="96" t="str">
        <f t="shared" si="13"/>
        <v xml:space="preserve"> Fill Rated Capacity (see column J),This route has no eligible riders (see columns L:O)</v>
      </c>
      <c r="AB16" s="116" t="str">
        <f t="shared" si="14"/>
        <v>You have recorded this as a type E multipurpose vehicle</v>
      </c>
      <c r="AC16" s="20" t="str">
        <f>IF(AND(E16="Y",D16&lt;PAR!C17),"Non bus miles are less than the minumum of 10 (see column D)",IF(AND(E16="Y",F16&lt;&gt;""),"Non Bus Miles",""))</f>
        <v/>
      </c>
      <c r="AD16" s="20" t="str">
        <f t="shared" si="15"/>
        <v/>
      </c>
      <c r="AE16" s="20" t="str">
        <f t="shared" si="8"/>
        <v>Fill Rated Capacity (see column J),</v>
      </c>
      <c r="AF16" s="20" t="str">
        <f t="shared" si="9"/>
        <v/>
      </c>
      <c r="AG16" s="20" t="str">
        <f t="shared" si="10"/>
        <v/>
      </c>
      <c r="AH16" s="20" t="str">
        <f t="shared" si="11"/>
        <v>This route has no eligible riders (see columns L:O)</v>
      </c>
      <c r="AI16" s="20" t="str">
        <f t="shared" si="12"/>
        <v/>
      </c>
      <c r="AJ16" s="20" t="str">
        <f t="shared" si="16"/>
        <v/>
      </c>
      <c r="AK16" s="20" t="str">
        <f t="shared" si="17"/>
        <v/>
      </c>
      <c r="AL16" s="98" t="s">
        <v>422</v>
      </c>
      <c r="AM16" s="20" t="str">
        <f t="shared" si="18"/>
        <v>You have recorded this as a type E multipurpose vehicle</v>
      </c>
    </row>
    <row r="17" spans="1:39" x14ac:dyDescent="0.75">
      <c r="A17" s="1" t="s">
        <v>102</v>
      </c>
      <c r="B17" s="131"/>
      <c r="C17" s="118">
        <v>0</v>
      </c>
      <c r="D17" s="41">
        <v>0</v>
      </c>
      <c r="E17" s="47" t="s">
        <v>448</v>
      </c>
      <c r="F17" s="43">
        <v>0</v>
      </c>
      <c r="G17" s="34">
        <v>0</v>
      </c>
      <c r="H17" s="128" t="str">
        <f t="shared" si="1"/>
        <v>0</v>
      </c>
      <c r="I17" s="125"/>
      <c r="J17" s="34">
        <v>0</v>
      </c>
      <c r="K17" s="16" t="str">
        <f t="shared" si="2"/>
        <v/>
      </c>
      <c r="L17" s="38">
        <v>0</v>
      </c>
      <c r="M17" s="38">
        <v>0</v>
      </c>
      <c r="N17" s="38">
        <v>0</v>
      </c>
      <c r="O17" s="37">
        <v>0</v>
      </c>
      <c r="P17" s="18">
        <f t="shared" ref="P17:P78" si="19">IF(AND(L17="",M17="",N17="",O17=""),"",SUM(L17:O17))</f>
        <v>0</v>
      </c>
      <c r="Q17" s="38">
        <v>0</v>
      </c>
      <c r="R17" s="38">
        <v>0</v>
      </c>
      <c r="S17" s="38">
        <v>0</v>
      </c>
      <c r="T17" s="38">
        <v>0</v>
      </c>
      <c r="U17" s="16">
        <f t="shared" si="4"/>
        <v>0</v>
      </c>
      <c r="V17" s="18" t="str">
        <f t="shared" ref="V17:V77" si="20">IF(B17&lt;&gt;"",B17,"")</f>
        <v/>
      </c>
      <c r="W17" s="18">
        <f>IF(E17="Y",PAR!$C$12,IF(J17="","",IF(J17&lt;11,PAR!$C$6,IF(J17&lt;50,PAR!$C$7,IF(J17&lt;60,PAR!$C$8,IF(J17&lt;70,PAR!$C$9,IF(J17&lt;80,PAR!$C$10,IF(J17&gt;79,PAR!$C$11,0))))))))</f>
        <v>0.5</v>
      </c>
      <c r="X17" s="18">
        <f t="shared" si="6"/>
        <v>0</v>
      </c>
      <c r="Y17" s="21">
        <f t="shared" si="7"/>
        <v>0</v>
      </c>
      <c r="Z17" s="100" t="str">
        <f>IF(IFERROR(IF(E17="Y",(W17*(X17-PAR!$C$15)*Y17)*C17,IF(AA17&lt;&gt;"","See Comment",IFERROR(W17*X17*Y17*C17,"Fill all blue cells"))),"Fill all blue cells")&lt;0,0,(IFERROR(IF(E17="Y",(W17*(X17-PAR!$C$15)*Y17)*C17,IF(AA17&lt;&gt;"","See Comment",IFERROR(W17*X17*Y17*C17,"Fill all blue cells"))),"Fill all blue cells")))</f>
        <v>See Comment</v>
      </c>
      <c r="AA17" s="96" t="str">
        <f t="shared" si="13"/>
        <v xml:space="preserve"> Fill Rated Capacity (see column J),This route has no eligible riders (see columns L:O)</v>
      </c>
      <c r="AB17" s="116" t="str">
        <f t="shared" si="14"/>
        <v>You have recorded this as a type E multipurpose vehicle</v>
      </c>
      <c r="AC17" s="20" t="str">
        <f>IF(AND(E17="Y",D17&lt;PAR!C18),"Non bus miles are less than the minumum of 10 (see column D)",IF(AND(E17="Y",F17&lt;&gt;""),"Non Bus Miles",""))</f>
        <v/>
      </c>
      <c r="AD17" s="20" t="str">
        <f t="shared" si="15"/>
        <v/>
      </c>
      <c r="AE17" s="20" t="str">
        <f t="shared" si="8"/>
        <v>Fill Rated Capacity (see column J),</v>
      </c>
      <c r="AF17" s="20" t="str">
        <f t="shared" si="9"/>
        <v/>
      </c>
      <c r="AG17" s="20" t="str">
        <f t="shared" si="10"/>
        <v/>
      </c>
      <c r="AH17" s="20" t="str">
        <f t="shared" si="11"/>
        <v>This route has no eligible riders (see columns L:O)</v>
      </c>
      <c r="AI17" s="20" t="str">
        <f t="shared" si="12"/>
        <v/>
      </c>
      <c r="AJ17" s="20" t="str">
        <f t="shared" si="16"/>
        <v/>
      </c>
      <c r="AK17" s="20" t="str">
        <f t="shared" si="17"/>
        <v/>
      </c>
      <c r="AL17" s="98" t="s">
        <v>422</v>
      </c>
      <c r="AM17" s="20" t="str">
        <f t="shared" si="18"/>
        <v>You have recorded this as a type E multipurpose vehicle</v>
      </c>
    </row>
    <row r="18" spans="1:39" x14ac:dyDescent="0.75">
      <c r="A18" s="1" t="s">
        <v>103</v>
      </c>
      <c r="B18" s="130"/>
      <c r="C18" s="118">
        <v>0</v>
      </c>
      <c r="D18" s="41">
        <v>0</v>
      </c>
      <c r="E18" s="48" t="s">
        <v>448</v>
      </c>
      <c r="F18" s="43">
        <v>0</v>
      </c>
      <c r="G18" s="34">
        <v>0</v>
      </c>
      <c r="H18" s="128" t="str">
        <f t="shared" ref="H18:H32" si="21">RIGHT(G18,4)</f>
        <v>0</v>
      </c>
      <c r="I18" s="126"/>
      <c r="J18" s="34">
        <v>0</v>
      </c>
      <c r="K18" s="16" t="str">
        <f t="shared" ref="K18:K77" si="22">IF(B18&lt;&gt;"",B18,"")</f>
        <v/>
      </c>
      <c r="L18" s="37">
        <v>0</v>
      </c>
      <c r="M18" s="37">
        <v>0</v>
      </c>
      <c r="N18" s="37">
        <v>0</v>
      </c>
      <c r="O18" s="37">
        <v>0</v>
      </c>
      <c r="P18" s="16">
        <f t="shared" si="19"/>
        <v>0</v>
      </c>
      <c r="Q18" s="37">
        <v>0</v>
      </c>
      <c r="R18" s="37">
        <v>0</v>
      </c>
      <c r="S18" s="37">
        <v>0</v>
      </c>
      <c r="T18" s="37">
        <v>0</v>
      </c>
      <c r="U18" s="16">
        <f t="shared" si="4"/>
        <v>0</v>
      </c>
      <c r="V18" s="16" t="str">
        <f t="shared" si="20"/>
        <v/>
      </c>
      <c r="W18" s="16">
        <f>IF(E18="Y",PAR!$C$12,IF(J18="","",IF(J18&lt;11,PAR!$C$6,IF(J18&lt;50,PAR!$C$7,IF(J18&lt;60,PAR!$C$8,IF(J18&lt;70,PAR!$C$9,IF(J18&lt;80,PAR!$C$10,IF(J18&gt;79,PAR!$C$11,0))))))))</f>
        <v>0.5</v>
      </c>
      <c r="X18" s="16">
        <f t="shared" si="6"/>
        <v>0</v>
      </c>
      <c r="Y18" s="22">
        <f t="shared" si="7"/>
        <v>0</v>
      </c>
      <c r="Z18" s="100" t="str">
        <f>IF(IFERROR(IF(E18="Y",(W18*(X18-PAR!$C$15)*Y18)*C18,IF(AA18&lt;&gt;"","See Comment",IFERROR(W18*X18*Y18*C18,"Fill all blue cells"))),"Fill all blue cells")&lt;0,0,(IFERROR(IF(E18="Y",(W18*(X18-PAR!$C$15)*Y18)*C18,IF(AA18&lt;&gt;"","See Comment",IFERROR(W18*X18*Y18*C18,"Fill all blue cells"))),"Fill all blue cells")))</f>
        <v>See Comment</v>
      </c>
      <c r="AA18" s="96" t="str">
        <f t="shared" si="13"/>
        <v xml:space="preserve"> Fill Rated Capacity (see column J),This route has no eligible riders (see columns L:O)</v>
      </c>
      <c r="AB18" s="116" t="str">
        <f t="shared" si="14"/>
        <v>You have recorded this as a type E multipurpose vehicle</v>
      </c>
      <c r="AC18" s="20" t="str">
        <f>IF(AND(E18="Y",D18&lt;PAR!C19),"Non bus miles are less than the minumum of 10 (see column D)",IF(AND(E18="Y",F18&lt;&gt;""),"Non Bus Miles",""))</f>
        <v/>
      </c>
      <c r="AD18" s="20" t="str">
        <f t="shared" si="15"/>
        <v/>
      </c>
      <c r="AE18" s="20" t="str">
        <f t="shared" si="8"/>
        <v>Fill Rated Capacity (see column J),</v>
      </c>
      <c r="AF18" s="20" t="str">
        <f t="shared" si="9"/>
        <v/>
      </c>
      <c r="AG18" s="20" t="str">
        <f t="shared" si="10"/>
        <v/>
      </c>
      <c r="AH18" s="20" t="str">
        <f t="shared" si="11"/>
        <v>This route has no eligible riders (see columns L:O)</v>
      </c>
      <c r="AI18" s="20" t="str">
        <f t="shared" si="12"/>
        <v/>
      </c>
      <c r="AJ18" s="20" t="str">
        <f t="shared" si="16"/>
        <v/>
      </c>
      <c r="AK18" s="20" t="str">
        <f t="shared" si="17"/>
        <v/>
      </c>
      <c r="AL18" s="98" t="s">
        <v>422</v>
      </c>
      <c r="AM18" s="20" t="str">
        <f t="shared" si="18"/>
        <v>You have recorded this as a type E multipurpose vehicle</v>
      </c>
    </row>
    <row r="19" spans="1:39" x14ac:dyDescent="0.75">
      <c r="A19" s="1" t="s">
        <v>104</v>
      </c>
      <c r="B19" s="131"/>
      <c r="C19" s="118">
        <v>0</v>
      </c>
      <c r="D19" s="41">
        <v>0</v>
      </c>
      <c r="E19" s="47" t="s">
        <v>448</v>
      </c>
      <c r="F19" s="43">
        <v>0</v>
      </c>
      <c r="G19" s="34">
        <v>0</v>
      </c>
      <c r="H19" s="129" t="str">
        <f t="shared" si="21"/>
        <v>0</v>
      </c>
      <c r="I19" s="125"/>
      <c r="J19" s="34">
        <v>0</v>
      </c>
      <c r="K19" s="18" t="str">
        <f t="shared" si="22"/>
        <v/>
      </c>
      <c r="L19" s="38">
        <v>0</v>
      </c>
      <c r="M19" s="38">
        <v>0</v>
      </c>
      <c r="N19" s="38">
        <v>0</v>
      </c>
      <c r="O19" s="37">
        <v>0</v>
      </c>
      <c r="P19" s="18">
        <f t="shared" si="19"/>
        <v>0</v>
      </c>
      <c r="Q19" s="38">
        <v>0</v>
      </c>
      <c r="R19" s="38">
        <v>0</v>
      </c>
      <c r="S19" s="38">
        <v>0</v>
      </c>
      <c r="T19" s="38">
        <v>0</v>
      </c>
      <c r="U19" s="16">
        <f t="shared" si="4"/>
        <v>0</v>
      </c>
      <c r="V19" s="18" t="str">
        <f t="shared" si="20"/>
        <v/>
      </c>
      <c r="W19" s="18">
        <f>IF(E19="Y",PAR!$C$12,IF(J19="","",IF(J19&lt;11,PAR!$C$6,IF(J19&lt;50,PAR!$C$7,IF(J19&lt;60,PAR!$C$8,IF(J19&lt;70,PAR!$C$9,IF(J19&lt;80,PAR!$C$10,IF(J19&gt;79,PAR!$C$11,0))))))))</f>
        <v>0.5</v>
      </c>
      <c r="X19" s="18">
        <f t="shared" si="6"/>
        <v>0</v>
      </c>
      <c r="Y19" s="21">
        <f t="shared" si="7"/>
        <v>0</v>
      </c>
      <c r="Z19" s="100" t="str">
        <f>IF(IFERROR(IF(E19="Y",(W19*(X19-PAR!$C$15)*Y19)*C19,IF(AA19&lt;&gt;"","See Comment",IFERROR(W19*X19*Y19*C19,"Fill all blue cells"))),"Fill all blue cells")&lt;0,0,(IFERROR(IF(E19="Y",(W19*(X19-PAR!$C$15)*Y19)*C19,IF(AA19&lt;&gt;"","See Comment",IFERROR(W19*X19*Y19*C19,"Fill all blue cells"))),"Fill all blue cells")))</f>
        <v>See Comment</v>
      </c>
      <c r="AA19" s="96" t="str">
        <f t="shared" si="13"/>
        <v xml:space="preserve"> Fill Rated Capacity (see column J),This route has no eligible riders (see columns L:O)</v>
      </c>
      <c r="AB19" s="116" t="str">
        <f t="shared" si="14"/>
        <v>You have recorded this as a type E multipurpose vehicle</v>
      </c>
      <c r="AC19" s="20" t="str">
        <f>IF(AND(E19="Y",D19&lt;PAR!C20),"Non bus miles are less than the minumum of 10 (see column D)",IF(AND(E19="Y",F19&lt;&gt;""),"Non Bus Miles",""))</f>
        <v/>
      </c>
      <c r="AD19" s="20" t="str">
        <f t="shared" si="15"/>
        <v/>
      </c>
      <c r="AE19" s="20" t="str">
        <f t="shared" si="8"/>
        <v>Fill Rated Capacity (see column J),</v>
      </c>
      <c r="AF19" s="20" t="str">
        <f t="shared" si="9"/>
        <v/>
      </c>
      <c r="AG19" s="20" t="str">
        <f t="shared" si="10"/>
        <v/>
      </c>
      <c r="AH19" s="20" t="str">
        <f t="shared" si="11"/>
        <v>This route has no eligible riders (see columns L:O)</v>
      </c>
      <c r="AI19" s="20" t="str">
        <f t="shared" si="12"/>
        <v/>
      </c>
      <c r="AJ19" s="20" t="str">
        <f t="shared" si="16"/>
        <v/>
      </c>
      <c r="AK19" s="20" t="str">
        <f t="shared" si="17"/>
        <v/>
      </c>
      <c r="AL19" s="98" t="s">
        <v>422</v>
      </c>
      <c r="AM19" s="20" t="str">
        <f t="shared" si="18"/>
        <v>You have recorded this as a type E multipurpose vehicle</v>
      </c>
    </row>
    <row r="20" spans="1:39" x14ac:dyDescent="0.75">
      <c r="A20" s="1" t="s">
        <v>105</v>
      </c>
      <c r="B20" s="130"/>
      <c r="C20" s="118">
        <v>0</v>
      </c>
      <c r="D20" s="41">
        <v>0</v>
      </c>
      <c r="E20" s="48" t="s">
        <v>448</v>
      </c>
      <c r="F20" s="43">
        <v>0</v>
      </c>
      <c r="G20" s="34">
        <v>0</v>
      </c>
      <c r="H20" s="128" t="str">
        <f t="shared" si="21"/>
        <v>0</v>
      </c>
      <c r="I20" s="126"/>
      <c r="J20" s="34">
        <v>0</v>
      </c>
      <c r="K20" s="16" t="str">
        <f t="shared" si="22"/>
        <v/>
      </c>
      <c r="L20" s="37">
        <v>0</v>
      </c>
      <c r="M20" s="37">
        <v>0</v>
      </c>
      <c r="N20" s="37">
        <v>0</v>
      </c>
      <c r="O20" s="37">
        <v>0</v>
      </c>
      <c r="P20" s="16">
        <f t="shared" si="19"/>
        <v>0</v>
      </c>
      <c r="Q20" s="37">
        <v>0</v>
      </c>
      <c r="R20" s="37">
        <v>0</v>
      </c>
      <c r="S20" s="37">
        <v>0</v>
      </c>
      <c r="T20" s="37">
        <v>0</v>
      </c>
      <c r="U20" s="16">
        <f t="shared" si="4"/>
        <v>0</v>
      </c>
      <c r="V20" s="16" t="str">
        <f t="shared" si="20"/>
        <v/>
      </c>
      <c r="W20" s="16">
        <f>IF(E20="Y",PAR!$C$12,IF(J20="","",IF(J20&lt;11,PAR!$C$6,IF(J20&lt;50,PAR!$C$7,IF(J20&lt;60,PAR!$C$8,IF(J20&lt;70,PAR!$C$9,IF(J20&lt;80,PAR!$C$10,IF(J20&gt;79,PAR!$C$11,0))))))))</f>
        <v>0.5</v>
      </c>
      <c r="X20" s="16">
        <f t="shared" si="6"/>
        <v>0</v>
      </c>
      <c r="Y20" s="22">
        <f t="shared" si="7"/>
        <v>0</v>
      </c>
      <c r="Z20" s="100" t="str">
        <f>IF(IFERROR(IF(E20="Y",(W20*(X20-PAR!$C$15)*Y20)*C20,IF(AA20&lt;&gt;"","See Comment",IFERROR(W20*X20*Y20*C20,"Fill all blue cells"))),"Fill all blue cells")&lt;0,0,(IFERROR(IF(E20="Y",(W20*(X20-PAR!$C$15)*Y20)*C20,IF(AA20&lt;&gt;"","See Comment",IFERROR(W20*X20*Y20*C20,"Fill all blue cells"))),"Fill all blue cells")))</f>
        <v>See Comment</v>
      </c>
      <c r="AA20" s="96" t="str">
        <f t="shared" si="13"/>
        <v xml:space="preserve"> Fill Rated Capacity (see column J),This route has no eligible riders (see columns L:O)</v>
      </c>
      <c r="AB20" s="116" t="str">
        <f t="shared" si="14"/>
        <v>You have recorded this as a type E multipurpose vehicle</v>
      </c>
      <c r="AC20" s="20" t="str">
        <f>IF(AND(E20="Y",D20&lt;PAR!C21),"Non bus miles are less than the minumum of 10 (see column D)",IF(AND(E20="Y",F20&lt;&gt;""),"Non Bus Miles",""))</f>
        <v/>
      </c>
      <c r="AD20" s="20" t="str">
        <f t="shared" si="15"/>
        <v/>
      </c>
      <c r="AE20" s="20" t="str">
        <f t="shared" si="8"/>
        <v>Fill Rated Capacity (see column J),</v>
      </c>
      <c r="AF20" s="20" t="str">
        <f t="shared" si="9"/>
        <v/>
      </c>
      <c r="AG20" s="20" t="str">
        <f t="shared" si="10"/>
        <v/>
      </c>
      <c r="AH20" s="20" t="str">
        <f t="shared" si="11"/>
        <v>This route has no eligible riders (see columns L:O)</v>
      </c>
      <c r="AI20" s="20" t="str">
        <f t="shared" si="12"/>
        <v/>
      </c>
      <c r="AJ20" s="20" t="str">
        <f t="shared" si="16"/>
        <v/>
      </c>
      <c r="AK20" s="20" t="str">
        <f t="shared" si="17"/>
        <v/>
      </c>
      <c r="AL20" s="98" t="s">
        <v>422</v>
      </c>
      <c r="AM20" s="20" t="str">
        <f t="shared" si="18"/>
        <v>You have recorded this as a type E multipurpose vehicle</v>
      </c>
    </row>
    <row r="21" spans="1:39" x14ac:dyDescent="0.75">
      <c r="A21" s="1" t="s">
        <v>106</v>
      </c>
      <c r="B21" s="131"/>
      <c r="C21" s="118">
        <v>0</v>
      </c>
      <c r="D21" s="41">
        <v>0</v>
      </c>
      <c r="E21" s="47" t="s">
        <v>448</v>
      </c>
      <c r="F21" s="43">
        <v>0</v>
      </c>
      <c r="G21" s="34">
        <v>0</v>
      </c>
      <c r="H21" s="129" t="str">
        <f t="shared" si="21"/>
        <v>0</v>
      </c>
      <c r="I21" s="125"/>
      <c r="J21" s="34">
        <v>0</v>
      </c>
      <c r="K21" s="18" t="str">
        <f t="shared" si="22"/>
        <v/>
      </c>
      <c r="L21" s="38">
        <v>0</v>
      </c>
      <c r="M21" s="38">
        <v>0</v>
      </c>
      <c r="N21" s="38">
        <v>0</v>
      </c>
      <c r="O21" s="37">
        <v>0</v>
      </c>
      <c r="P21" s="18">
        <f t="shared" si="19"/>
        <v>0</v>
      </c>
      <c r="Q21" s="38">
        <v>0</v>
      </c>
      <c r="R21" s="38">
        <v>0</v>
      </c>
      <c r="S21" s="38">
        <v>0</v>
      </c>
      <c r="T21" s="38">
        <v>0</v>
      </c>
      <c r="U21" s="16">
        <f t="shared" si="4"/>
        <v>0</v>
      </c>
      <c r="V21" s="18" t="str">
        <f t="shared" si="20"/>
        <v/>
      </c>
      <c r="W21" s="18">
        <f>IF(E21="Y",PAR!$C$12,IF(J21="","",IF(J21&lt;11,PAR!$C$6,IF(J21&lt;50,PAR!$C$7,IF(J21&lt;60,PAR!$C$8,IF(J21&lt;70,PAR!$C$9,IF(J21&lt;80,PAR!$C$10,IF(J21&gt;79,PAR!$C$11,0))))))))</f>
        <v>0.5</v>
      </c>
      <c r="X21" s="18">
        <f t="shared" si="6"/>
        <v>0</v>
      </c>
      <c r="Y21" s="21">
        <f t="shared" si="7"/>
        <v>0</v>
      </c>
      <c r="Z21" s="100" t="str">
        <f>IF(IFERROR(IF(E21="Y",(W21*(X21-PAR!$C$15)*Y21)*C21,IF(AA21&lt;&gt;"","See Comment",IFERROR(W21*X21*Y21*C21,"Fill all blue cells"))),"Fill all blue cells")&lt;0,0,(IFERROR(IF(E21="Y",(W21*(X21-PAR!$C$15)*Y21)*C21,IF(AA21&lt;&gt;"","See Comment",IFERROR(W21*X21*Y21*C21,"Fill all blue cells"))),"Fill all blue cells")))</f>
        <v>See Comment</v>
      </c>
      <c r="AA21" s="96" t="str">
        <f t="shared" si="13"/>
        <v xml:space="preserve"> Fill Rated Capacity (see column J),This route has no eligible riders (see columns L:O)</v>
      </c>
      <c r="AB21" s="116" t="str">
        <f t="shared" si="14"/>
        <v>You have recorded this as a type E multipurpose vehicle</v>
      </c>
      <c r="AC21" s="20" t="str">
        <f>IF(AND(E21="Y",D21&lt;PAR!C22),"Non bus miles are less than the minumum of 10 (see column D)",IF(AND(E21="Y",F21&lt;&gt;""),"Non Bus Miles",""))</f>
        <v/>
      </c>
      <c r="AD21" s="20" t="str">
        <f t="shared" si="15"/>
        <v/>
      </c>
      <c r="AE21" s="20" t="str">
        <f t="shared" si="8"/>
        <v>Fill Rated Capacity (see column J),</v>
      </c>
      <c r="AF21" s="20" t="str">
        <f t="shared" si="9"/>
        <v/>
      </c>
      <c r="AG21" s="20" t="str">
        <f t="shared" si="10"/>
        <v/>
      </c>
      <c r="AH21" s="20" t="str">
        <f t="shared" si="11"/>
        <v>This route has no eligible riders (see columns L:O)</v>
      </c>
      <c r="AI21" s="20" t="str">
        <f t="shared" si="12"/>
        <v/>
      </c>
      <c r="AJ21" s="20" t="str">
        <f t="shared" si="16"/>
        <v/>
      </c>
      <c r="AK21" s="20" t="str">
        <f t="shared" si="17"/>
        <v/>
      </c>
      <c r="AL21" s="98" t="s">
        <v>422</v>
      </c>
      <c r="AM21" s="20" t="str">
        <f t="shared" si="18"/>
        <v>You have recorded this as a type E multipurpose vehicle</v>
      </c>
    </row>
    <row r="22" spans="1:39" x14ac:dyDescent="0.75">
      <c r="A22" s="1" t="s">
        <v>107</v>
      </c>
      <c r="B22" s="130"/>
      <c r="C22" s="118">
        <v>0</v>
      </c>
      <c r="D22" s="41">
        <v>0</v>
      </c>
      <c r="E22" s="48" t="s">
        <v>448</v>
      </c>
      <c r="F22" s="43">
        <v>0</v>
      </c>
      <c r="G22" s="34">
        <v>0</v>
      </c>
      <c r="H22" s="128" t="str">
        <f t="shared" si="21"/>
        <v>0</v>
      </c>
      <c r="I22" s="126"/>
      <c r="J22" s="34">
        <v>0</v>
      </c>
      <c r="K22" s="16" t="str">
        <f t="shared" si="22"/>
        <v/>
      </c>
      <c r="L22" s="37">
        <v>0</v>
      </c>
      <c r="M22" s="37">
        <v>0</v>
      </c>
      <c r="N22" s="37">
        <v>0</v>
      </c>
      <c r="O22" s="37">
        <v>0</v>
      </c>
      <c r="P22" s="16">
        <f t="shared" si="19"/>
        <v>0</v>
      </c>
      <c r="Q22" s="37">
        <v>0</v>
      </c>
      <c r="R22" s="37">
        <v>0</v>
      </c>
      <c r="S22" s="37">
        <v>0</v>
      </c>
      <c r="T22" s="37">
        <v>0</v>
      </c>
      <c r="U22" s="16">
        <f t="shared" si="4"/>
        <v>0</v>
      </c>
      <c r="V22" s="16" t="str">
        <f t="shared" si="20"/>
        <v/>
      </c>
      <c r="W22" s="16">
        <f>IF(E22="Y",PAR!$C$12,IF(J22="","",IF(J22&lt;11,PAR!$C$6,IF(J22&lt;50,PAR!$C$7,IF(J22&lt;60,PAR!$C$8,IF(J22&lt;70,PAR!$C$9,IF(J22&lt;80,PAR!$C$10,IF(J22&gt;79,PAR!$C$11,0))))))))</f>
        <v>0.5</v>
      </c>
      <c r="X22" s="16">
        <f t="shared" si="6"/>
        <v>0</v>
      </c>
      <c r="Y22" s="22">
        <f t="shared" si="7"/>
        <v>0</v>
      </c>
      <c r="Z22" s="100" t="str">
        <f>IF(IFERROR(IF(E22="Y",(W22*(X22-PAR!$C$15)*Y22)*C22,IF(AA22&lt;&gt;"","See Comment",IFERROR(W22*X22*Y22*C22,"Fill all blue cells"))),"Fill all blue cells")&lt;0,0,(IFERROR(IF(E22="Y",(W22*(X22-PAR!$C$15)*Y22)*C22,IF(AA22&lt;&gt;"","See Comment",IFERROR(W22*X22*Y22*C22,"Fill all blue cells"))),"Fill all blue cells")))</f>
        <v>See Comment</v>
      </c>
      <c r="AA22" s="96" t="str">
        <f t="shared" si="13"/>
        <v xml:space="preserve"> Fill Rated Capacity (see column J),This route has no eligible riders (see columns L:O)</v>
      </c>
      <c r="AB22" s="116" t="str">
        <f t="shared" si="14"/>
        <v>You have recorded this as a type E multipurpose vehicle</v>
      </c>
      <c r="AC22" s="20" t="str">
        <f>IF(AND(E22="Y",D22&lt;PAR!C23),"Non bus miles are less than the minumum of 10 (see column D)",IF(AND(E22="Y",F22&lt;&gt;""),"Non Bus Miles",""))</f>
        <v/>
      </c>
      <c r="AD22" s="20" t="str">
        <f t="shared" si="15"/>
        <v/>
      </c>
      <c r="AE22" s="20" t="str">
        <f t="shared" si="8"/>
        <v>Fill Rated Capacity (see column J),</v>
      </c>
      <c r="AF22" s="20" t="str">
        <f t="shared" si="9"/>
        <v/>
      </c>
      <c r="AG22" s="20" t="str">
        <f t="shared" si="10"/>
        <v/>
      </c>
      <c r="AH22" s="20" t="str">
        <f t="shared" si="11"/>
        <v>This route has no eligible riders (see columns L:O)</v>
      </c>
      <c r="AI22" s="20" t="str">
        <f t="shared" si="12"/>
        <v/>
      </c>
      <c r="AJ22" s="20" t="str">
        <f t="shared" si="16"/>
        <v/>
      </c>
      <c r="AK22" s="20" t="str">
        <f t="shared" si="17"/>
        <v/>
      </c>
      <c r="AL22" s="98" t="s">
        <v>422</v>
      </c>
      <c r="AM22" s="20" t="str">
        <f t="shared" si="18"/>
        <v>You have recorded this as a type E multipurpose vehicle</v>
      </c>
    </row>
    <row r="23" spans="1:39" x14ac:dyDescent="0.75">
      <c r="A23" s="1" t="s">
        <v>108</v>
      </c>
      <c r="B23" s="131"/>
      <c r="C23" s="118">
        <v>0</v>
      </c>
      <c r="D23" s="41">
        <v>0</v>
      </c>
      <c r="E23" s="47" t="s">
        <v>448</v>
      </c>
      <c r="F23" s="43">
        <v>0</v>
      </c>
      <c r="G23" s="34">
        <v>0</v>
      </c>
      <c r="H23" s="129" t="str">
        <f t="shared" si="21"/>
        <v>0</v>
      </c>
      <c r="I23" s="125"/>
      <c r="J23" s="34">
        <v>0</v>
      </c>
      <c r="K23" s="18" t="str">
        <f t="shared" si="22"/>
        <v/>
      </c>
      <c r="L23" s="38">
        <v>0</v>
      </c>
      <c r="M23" s="38">
        <v>0</v>
      </c>
      <c r="N23" s="38">
        <v>0</v>
      </c>
      <c r="O23" s="37">
        <v>0</v>
      </c>
      <c r="P23" s="18">
        <f t="shared" si="19"/>
        <v>0</v>
      </c>
      <c r="Q23" s="38">
        <v>0</v>
      </c>
      <c r="R23" s="38">
        <v>0</v>
      </c>
      <c r="S23" s="38">
        <v>0</v>
      </c>
      <c r="T23" s="38">
        <v>0</v>
      </c>
      <c r="U23" s="16">
        <f t="shared" si="4"/>
        <v>0</v>
      </c>
      <c r="V23" s="18" t="str">
        <f t="shared" si="20"/>
        <v/>
      </c>
      <c r="W23" s="18">
        <f>IF(E23="Y",PAR!$C$12,IF(J23="","",IF(J23&lt;11,PAR!$C$6,IF(J23&lt;50,PAR!$C$7,IF(J23&lt;60,PAR!$C$8,IF(J23&lt;70,PAR!$C$9,IF(J23&lt;80,PAR!$C$10,IF(J23&gt;79,PAR!$C$11,0))))))))</f>
        <v>0.5</v>
      </c>
      <c r="X23" s="18">
        <f t="shared" si="6"/>
        <v>0</v>
      </c>
      <c r="Y23" s="21">
        <f t="shared" si="7"/>
        <v>0</v>
      </c>
      <c r="Z23" s="100" t="str">
        <f>IF(IFERROR(IF(E23="Y",(W23*(X23-PAR!$C$15)*Y23)*C23,IF(AA23&lt;&gt;"","See Comment",IFERROR(W23*X23*Y23*C23,"Fill all blue cells"))),"Fill all blue cells")&lt;0,0,(IFERROR(IF(E23="Y",(W23*(X23-PAR!$C$15)*Y23)*C23,IF(AA23&lt;&gt;"","See Comment",IFERROR(W23*X23*Y23*C23,"Fill all blue cells"))),"Fill all blue cells")))</f>
        <v>See Comment</v>
      </c>
      <c r="AA23" s="96" t="str">
        <f t="shared" si="13"/>
        <v xml:space="preserve"> Fill Rated Capacity (see column J),This route has no eligible riders (see columns L:O)</v>
      </c>
      <c r="AB23" s="116" t="str">
        <f t="shared" si="14"/>
        <v>You have recorded this as a type E multipurpose vehicle</v>
      </c>
      <c r="AC23" s="20" t="str">
        <f>IF(AND(E23="Y",D23&lt;PAR!C24),"Non bus miles are less than the minumum of 10 (see column D)",IF(AND(E23="Y",F23&lt;&gt;""),"Non Bus Miles",""))</f>
        <v/>
      </c>
      <c r="AD23" s="20" t="str">
        <f t="shared" si="15"/>
        <v/>
      </c>
      <c r="AE23" s="20" t="str">
        <f t="shared" si="8"/>
        <v>Fill Rated Capacity (see column J),</v>
      </c>
      <c r="AF23" s="20" t="str">
        <f t="shared" si="9"/>
        <v/>
      </c>
      <c r="AG23" s="20" t="str">
        <f t="shared" si="10"/>
        <v/>
      </c>
      <c r="AH23" s="20" t="str">
        <f t="shared" si="11"/>
        <v>This route has no eligible riders (see columns L:O)</v>
      </c>
      <c r="AI23" s="20" t="str">
        <f t="shared" si="12"/>
        <v/>
      </c>
      <c r="AJ23" s="20" t="str">
        <f t="shared" si="16"/>
        <v/>
      </c>
      <c r="AK23" s="20" t="str">
        <f t="shared" si="17"/>
        <v/>
      </c>
      <c r="AL23" s="98" t="s">
        <v>422</v>
      </c>
      <c r="AM23" s="20" t="str">
        <f t="shared" si="18"/>
        <v>You have recorded this as a type E multipurpose vehicle</v>
      </c>
    </row>
    <row r="24" spans="1:39" x14ac:dyDescent="0.75">
      <c r="A24" s="1" t="s">
        <v>109</v>
      </c>
      <c r="B24" s="130"/>
      <c r="C24" s="118">
        <v>0</v>
      </c>
      <c r="D24" s="41">
        <v>0</v>
      </c>
      <c r="E24" s="48" t="s">
        <v>448</v>
      </c>
      <c r="F24" s="43">
        <v>0</v>
      </c>
      <c r="G24" s="34">
        <v>0</v>
      </c>
      <c r="H24" s="128" t="str">
        <f t="shared" si="21"/>
        <v>0</v>
      </c>
      <c r="I24" s="126"/>
      <c r="J24" s="34">
        <v>0</v>
      </c>
      <c r="K24" s="16" t="str">
        <f t="shared" si="22"/>
        <v/>
      </c>
      <c r="L24" s="37">
        <v>0</v>
      </c>
      <c r="M24" s="37">
        <v>0</v>
      </c>
      <c r="N24" s="37">
        <v>0</v>
      </c>
      <c r="O24" s="37">
        <v>0</v>
      </c>
      <c r="P24" s="16">
        <f t="shared" si="19"/>
        <v>0</v>
      </c>
      <c r="Q24" s="37">
        <v>0</v>
      </c>
      <c r="R24" s="37">
        <v>0</v>
      </c>
      <c r="S24" s="37">
        <v>0</v>
      </c>
      <c r="T24" s="37">
        <v>0</v>
      </c>
      <c r="U24" s="16">
        <f t="shared" si="4"/>
        <v>0</v>
      </c>
      <c r="V24" s="16" t="str">
        <f t="shared" si="20"/>
        <v/>
      </c>
      <c r="W24" s="16">
        <f>IF(E24="Y",PAR!$C$12,IF(J24="","",IF(J24&lt;11,PAR!$C$6,IF(J24&lt;50,PAR!$C$7,IF(J24&lt;60,PAR!$C$8,IF(J24&lt;70,PAR!$C$9,IF(J24&lt;80,PAR!$C$10,IF(J24&gt;79,PAR!$C$11,0))))))))</f>
        <v>0.5</v>
      </c>
      <c r="X24" s="16">
        <f t="shared" si="6"/>
        <v>0</v>
      </c>
      <c r="Y24" s="22">
        <f t="shared" si="7"/>
        <v>0</v>
      </c>
      <c r="Z24" s="100" t="str">
        <f>IF(IFERROR(IF(E24="Y",(W24*(X24-PAR!$C$15)*Y24)*C24,IF(AA24&lt;&gt;"","See Comment",IFERROR(W24*X24*Y24*C24,"Fill all blue cells"))),"Fill all blue cells")&lt;0,0,(IFERROR(IF(E24="Y",(W24*(X24-PAR!$C$15)*Y24)*C24,IF(AA24&lt;&gt;"","See Comment",IFERROR(W24*X24*Y24*C24,"Fill all blue cells"))),"Fill all blue cells")))</f>
        <v>See Comment</v>
      </c>
      <c r="AA24" s="96" t="str">
        <f t="shared" si="13"/>
        <v xml:space="preserve"> Fill Rated Capacity (see column J),This route has no eligible riders (see columns L:O)</v>
      </c>
      <c r="AB24" s="116" t="str">
        <f t="shared" si="14"/>
        <v>You have recorded this as a type E multipurpose vehicle</v>
      </c>
      <c r="AC24" s="20" t="str">
        <f>IF(AND(E24="Y",D24&lt;PAR!C25),"Non bus miles are less than the minumum of 10 (see column D)",IF(AND(E24="Y",F24&lt;&gt;""),"Non Bus Miles",""))</f>
        <v/>
      </c>
      <c r="AD24" s="20" t="str">
        <f t="shared" si="15"/>
        <v/>
      </c>
      <c r="AE24" s="20" t="str">
        <f t="shared" si="8"/>
        <v>Fill Rated Capacity (see column J),</v>
      </c>
      <c r="AF24" s="20" t="str">
        <f t="shared" si="9"/>
        <v/>
      </c>
      <c r="AG24" s="20" t="str">
        <f t="shared" si="10"/>
        <v/>
      </c>
      <c r="AH24" s="20" t="str">
        <f t="shared" si="11"/>
        <v>This route has no eligible riders (see columns L:O)</v>
      </c>
      <c r="AI24" s="20" t="str">
        <f t="shared" si="12"/>
        <v/>
      </c>
      <c r="AJ24" s="20" t="str">
        <f t="shared" si="16"/>
        <v/>
      </c>
      <c r="AK24" s="20" t="str">
        <f t="shared" si="17"/>
        <v/>
      </c>
      <c r="AL24" s="98" t="s">
        <v>422</v>
      </c>
      <c r="AM24" s="20" t="str">
        <f t="shared" si="18"/>
        <v>You have recorded this as a type E multipurpose vehicle</v>
      </c>
    </row>
    <row r="25" spans="1:39" x14ac:dyDescent="0.75">
      <c r="A25" s="1" t="s">
        <v>110</v>
      </c>
      <c r="B25" s="131"/>
      <c r="C25" s="118">
        <v>0</v>
      </c>
      <c r="D25" s="41">
        <v>0</v>
      </c>
      <c r="E25" s="47" t="s">
        <v>448</v>
      </c>
      <c r="F25" s="43">
        <v>0</v>
      </c>
      <c r="G25" s="34">
        <v>0</v>
      </c>
      <c r="H25" s="129" t="str">
        <f t="shared" si="21"/>
        <v>0</v>
      </c>
      <c r="I25" s="125"/>
      <c r="J25" s="34">
        <v>0</v>
      </c>
      <c r="K25" s="18" t="str">
        <f t="shared" si="22"/>
        <v/>
      </c>
      <c r="L25" s="38">
        <v>0</v>
      </c>
      <c r="M25" s="38">
        <v>0</v>
      </c>
      <c r="N25" s="38">
        <v>0</v>
      </c>
      <c r="O25" s="37">
        <v>0</v>
      </c>
      <c r="P25" s="18">
        <f t="shared" si="19"/>
        <v>0</v>
      </c>
      <c r="Q25" s="38">
        <v>0</v>
      </c>
      <c r="R25" s="38">
        <v>0</v>
      </c>
      <c r="S25" s="38">
        <v>0</v>
      </c>
      <c r="T25" s="38">
        <v>0</v>
      </c>
      <c r="U25" s="18">
        <f t="shared" si="4"/>
        <v>0</v>
      </c>
      <c r="V25" s="18" t="str">
        <f t="shared" si="20"/>
        <v/>
      </c>
      <c r="W25" s="18">
        <f>IF(E25="Y",PAR!$C$12,IF(J25="","",IF(J25&lt;11,PAR!$C$6,IF(J25&lt;50,PAR!$C$7,IF(J25&lt;60,PAR!$C$8,IF(J25&lt;70,PAR!$C$9,IF(J25&lt;80,PAR!$C$10,IF(J25&gt;79,PAR!$C$11,0))))))))</f>
        <v>0.5</v>
      </c>
      <c r="X25" s="18">
        <f t="shared" si="6"/>
        <v>0</v>
      </c>
      <c r="Y25" s="21">
        <f t="shared" si="7"/>
        <v>0</v>
      </c>
      <c r="Z25" s="100" t="str">
        <f>IF(IFERROR(IF(E25="Y",(W25*(X25-PAR!$C$15)*Y25)*C25,IF(AA25&lt;&gt;"","See Comment",IFERROR(W25*X25*Y25*C25,"Fill all blue cells"))),"Fill all blue cells")&lt;0,0,(IFERROR(IF(E25="Y",(W25*(X25-PAR!$C$15)*Y25)*C25,IF(AA25&lt;&gt;"","See Comment",IFERROR(W25*X25*Y25*C25,"Fill all blue cells"))),"Fill all blue cells")))</f>
        <v>See Comment</v>
      </c>
      <c r="AA25" s="96" t="str">
        <f t="shared" si="13"/>
        <v xml:space="preserve"> Fill Rated Capacity (see column J),This route has no eligible riders (see columns L:O)</v>
      </c>
      <c r="AB25" s="116" t="str">
        <f t="shared" si="14"/>
        <v>You have recorded this as a type E multipurpose vehicle</v>
      </c>
      <c r="AC25" s="20" t="str">
        <f>IF(AND(E25="Y",D25&lt;PAR!C26),"Non bus miles are less than the minumum of 10 (see column D)",IF(AND(E25="Y",F25&lt;&gt;""),"Non Bus Miles",""))</f>
        <v/>
      </c>
      <c r="AD25" s="20" t="str">
        <f t="shared" si="15"/>
        <v/>
      </c>
      <c r="AE25" s="20" t="str">
        <f t="shared" si="8"/>
        <v>Fill Rated Capacity (see column J),</v>
      </c>
      <c r="AF25" s="20" t="str">
        <f t="shared" si="9"/>
        <v/>
      </c>
      <c r="AG25" s="20" t="str">
        <f t="shared" si="10"/>
        <v/>
      </c>
      <c r="AH25" s="20" t="str">
        <f t="shared" si="11"/>
        <v>This route has no eligible riders (see columns L:O)</v>
      </c>
      <c r="AI25" s="20" t="str">
        <f t="shared" si="12"/>
        <v/>
      </c>
      <c r="AJ25" s="20" t="str">
        <f t="shared" si="16"/>
        <v/>
      </c>
      <c r="AK25" s="20" t="str">
        <f t="shared" si="17"/>
        <v/>
      </c>
      <c r="AL25" s="98" t="s">
        <v>422</v>
      </c>
      <c r="AM25" s="20" t="str">
        <f t="shared" si="18"/>
        <v>You have recorded this as a type E multipurpose vehicle</v>
      </c>
    </row>
    <row r="26" spans="1:39" x14ac:dyDescent="0.75">
      <c r="A26" s="1" t="s">
        <v>111</v>
      </c>
      <c r="B26" s="130"/>
      <c r="C26" s="33"/>
      <c r="D26" s="41"/>
      <c r="E26" s="48"/>
      <c r="F26" s="45"/>
      <c r="G26" s="32"/>
      <c r="H26" s="128" t="str">
        <f t="shared" si="21"/>
        <v/>
      </c>
      <c r="I26" s="126"/>
      <c r="J26" s="32"/>
      <c r="K26" s="16" t="str">
        <f t="shared" si="22"/>
        <v/>
      </c>
      <c r="L26" s="37"/>
      <c r="M26" s="37"/>
      <c r="N26" s="37"/>
      <c r="O26" s="37"/>
      <c r="P26" s="16" t="str">
        <f t="shared" si="19"/>
        <v/>
      </c>
      <c r="Q26" s="37"/>
      <c r="R26" s="37"/>
      <c r="S26" s="37"/>
      <c r="T26" s="37"/>
      <c r="U26" s="16">
        <f t="shared" si="4"/>
        <v>0</v>
      </c>
      <c r="V26" s="16" t="str">
        <f t="shared" si="20"/>
        <v/>
      </c>
      <c r="W26" s="16" t="str">
        <f>IF(E26="Y",PAR!$C$12,IF(J26="","",IF(J26&lt;11,PAR!$C$6,IF(J26&lt;50,PAR!$C$7,IF(J26&lt;60,PAR!$C$8,IF(J26&lt;70,PAR!$C$9,IF(J26&lt;80,PAR!$C$10,IF(J26&gt;79,PAR!$C$11,0))))))))</f>
        <v/>
      </c>
      <c r="X26" s="16" t="str">
        <f t="shared" si="6"/>
        <v/>
      </c>
      <c r="Y26" s="22" t="str">
        <f t="shared" si="7"/>
        <v/>
      </c>
      <c r="Z26" s="100" t="str">
        <f>IF(IFERROR(IF(E26="Y",(W26*(X26-PAR!$C$15)*Y26)*C26,IF(AA26&lt;&gt;"","See Comment",IFERROR(W26*X26*Y26*C26,"Fill all blue cells"))),"Fill all blue cells")&lt;0,0,(IFERROR(IF(E26="Y",(W26*(X26-PAR!$C$15)*Y26)*C26,IF(AA26&lt;&gt;"","See Comment",IFERROR(W26*X26*Y26*C26,"Fill all blue cells"))),"Fill all blue cells")))</f>
        <v>See Comment</v>
      </c>
      <c r="AA2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6" s="116" t="str">
        <f t="shared" si="14"/>
        <v/>
      </c>
      <c r="AC26" s="20" t="str">
        <f>IF(AND(E26="Y",D26&lt;PAR!C27),"Non bus miles are less than the minumum of 10 (see column D)",IF(AND(E26="Y",F26&lt;&gt;""),"Non Bus Miles",""))</f>
        <v/>
      </c>
      <c r="AD26" s="20" t="str">
        <f t="shared" si="15"/>
        <v/>
      </c>
      <c r="AE26" s="20" t="str">
        <f t="shared" si="8"/>
        <v>Fill Rated Capacity (see column J),</v>
      </c>
      <c r="AF26" s="20" t="str">
        <f t="shared" si="9"/>
        <v/>
      </c>
      <c r="AG26" s="20" t="str">
        <f t="shared" si="10"/>
        <v>Fill reimbursement % for this LE (see column C)</v>
      </c>
      <c r="AH26" s="20" t="str">
        <f t="shared" si="11"/>
        <v>This route has no eligible riders (see columns L:O)</v>
      </c>
      <c r="AI26" s="20" t="str">
        <f t="shared" si="12"/>
        <v>Fill miles per day (see column D)</v>
      </c>
      <c r="AJ26" s="20" t="str">
        <f t="shared" si="16"/>
        <v>Fill number of operating days (see column F)</v>
      </c>
      <c r="AK26" s="20" t="str">
        <f t="shared" si="17"/>
        <v>Fill Non-Bus Miles with Y or N (See column E)</v>
      </c>
      <c r="AL26" s="98" t="s">
        <v>422</v>
      </c>
      <c r="AM26" s="20" t="str">
        <f t="shared" si="18"/>
        <v/>
      </c>
    </row>
    <row r="27" spans="1:39" x14ac:dyDescent="0.75">
      <c r="A27" s="1" t="s">
        <v>112</v>
      </c>
      <c r="B27" s="131"/>
      <c r="C27" s="36"/>
      <c r="D27" s="42"/>
      <c r="E27" s="47"/>
      <c r="F27" s="44"/>
      <c r="G27" s="35"/>
      <c r="H27" s="18" t="str">
        <f t="shared" si="21"/>
        <v/>
      </c>
      <c r="I27" s="125"/>
      <c r="J27" s="35"/>
      <c r="K27" s="18" t="str">
        <f t="shared" si="22"/>
        <v/>
      </c>
      <c r="L27" s="38"/>
      <c r="M27" s="38"/>
      <c r="N27" s="38"/>
      <c r="O27" s="38"/>
      <c r="P27" s="18" t="str">
        <f t="shared" si="19"/>
        <v/>
      </c>
      <c r="Q27" s="38"/>
      <c r="R27" s="38"/>
      <c r="S27" s="38"/>
      <c r="T27" s="38"/>
      <c r="U27" s="18">
        <f t="shared" si="4"/>
        <v>0</v>
      </c>
      <c r="V27" s="18" t="str">
        <f t="shared" si="20"/>
        <v/>
      </c>
      <c r="W27" s="18" t="str">
        <f>IF(E27="Y",PAR!$C$12,IF(J27="","",IF(J27&lt;11,PAR!$C$6,IF(J27&lt;50,PAR!$C$7,IF(J27&lt;60,PAR!$C$8,IF(J27&lt;70,PAR!$C$9,IF(J27&lt;80,PAR!$C$10,IF(J27&gt;79,PAR!$C$11,0))))))))</f>
        <v/>
      </c>
      <c r="X27" s="18" t="str">
        <f t="shared" si="6"/>
        <v/>
      </c>
      <c r="Y27" s="21" t="str">
        <f t="shared" si="7"/>
        <v/>
      </c>
      <c r="Z27" s="100" t="str">
        <f>IF(IFERROR(IF(E27="Y",(W27*(X27-PAR!$C$15)*Y27)*C27,IF(AA27&lt;&gt;"","See Comment",IFERROR(W27*X27*Y27*C27,"Fill all blue cells"))),"Fill all blue cells")&lt;0,0,(IFERROR(IF(E27="Y",(W27*(X27-PAR!$C$15)*Y27)*C27,IF(AA27&lt;&gt;"","See Comment",IFERROR(W27*X27*Y27*C27,"Fill all blue cells"))),"Fill all blue cells")))</f>
        <v>See Comment</v>
      </c>
      <c r="AA2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7" s="116" t="str">
        <f t="shared" si="14"/>
        <v/>
      </c>
      <c r="AC27" s="20" t="str">
        <f>IF(AND(E27="Y",D27&lt;PAR!C28),"Non bus miles are less than the minumum of 10 (see column D)",IF(AND(E27="Y",F27&lt;&gt;""),"Non Bus Miles",""))</f>
        <v/>
      </c>
      <c r="AD27" s="20" t="str">
        <f t="shared" si="15"/>
        <v/>
      </c>
      <c r="AE27" s="20" t="str">
        <f t="shared" si="8"/>
        <v>Fill Rated Capacity (see column J),</v>
      </c>
      <c r="AF27" s="20" t="str">
        <f t="shared" si="9"/>
        <v/>
      </c>
      <c r="AG27" s="20" t="str">
        <f t="shared" si="10"/>
        <v>Fill reimbursement % for this LE (see column C)</v>
      </c>
      <c r="AH27" s="20" t="str">
        <f t="shared" si="11"/>
        <v>This route has no eligible riders (see columns L:O)</v>
      </c>
      <c r="AI27" s="20" t="str">
        <f t="shared" si="12"/>
        <v>Fill miles per day (see column D)</v>
      </c>
      <c r="AJ27" s="20" t="str">
        <f t="shared" si="16"/>
        <v>Fill number of operating days (see column F)</v>
      </c>
      <c r="AK27" s="20" t="str">
        <f t="shared" si="17"/>
        <v>Fill Non-Bus Miles with Y or N (See column E)</v>
      </c>
      <c r="AL27" s="98" t="s">
        <v>422</v>
      </c>
      <c r="AM27" s="20" t="str">
        <f t="shared" si="18"/>
        <v/>
      </c>
    </row>
    <row r="28" spans="1:39" x14ac:dyDescent="0.75">
      <c r="A28" s="1" t="s">
        <v>113</v>
      </c>
      <c r="B28" s="130"/>
      <c r="C28" s="33"/>
      <c r="D28" s="41"/>
      <c r="E28" s="48"/>
      <c r="F28" s="45"/>
      <c r="G28" s="32"/>
      <c r="H28" s="16" t="str">
        <f t="shared" si="21"/>
        <v/>
      </c>
      <c r="I28" s="126"/>
      <c r="J28" s="32"/>
      <c r="K28" s="16" t="str">
        <f t="shared" si="22"/>
        <v/>
      </c>
      <c r="L28" s="37"/>
      <c r="M28" s="37"/>
      <c r="N28" s="37"/>
      <c r="O28" s="37"/>
      <c r="P28" s="16" t="str">
        <f t="shared" si="19"/>
        <v/>
      </c>
      <c r="Q28" s="37"/>
      <c r="R28" s="37"/>
      <c r="S28" s="37"/>
      <c r="T28" s="37"/>
      <c r="U28" s="16">
        <f t="shared" si="4"/>
        <v>0</v>
      </c>
      <c r="V28" s="16" t="str">
        <f t="shared" si="20"/>
        <v/>
      </c>
      <c r="W28" s="16" t="str">
        <f>IF(E28="Y",PAR!$C$12,IF(J28="","",IF(J28&lt;11,PAR!$C$6,IF(J28&lt;50,PAR!$C$7,IF(J28&lt;60,PAR!$C$8,IF(J28&lt;70,PAR!$C$9,IF(J28&lt;80,PAR!$C$10,IF(J28&gt;79,PAR!$C$11,0))))))))</f>
        <v/>
      </c>
      <c r="X28" s="16" t="str">
        <f t="shared" si="6"/>
        <v/>
      </c>
      <c r="Y28" s="22" t="str">
        <f t="shared" si="7"/>
        <v/>
      </c>
      <c r="Z28" s="100" t="str">
        <f>IF(IFERROR(IF(E28="Y",(W28*(X28-PAR!$C$15)*Y28)*C28,IF(AA28&lt;&gt;"","See Comment",IFERROR(W28*X28*Y28*C28,"Fill all blue cells"))),"Fill all blue cells")&lt;0,0,(IFERROR(IF(E28="Y",(W28*(X28-PAR!$C$15)*Y28)*C28,IF(AA28&lt;&gt;"","See Comment",IFERROR(W28*X28*Y28*C28,"Fill all blue cells"))),"Fill all blue cells")))</f>
        <v>See Comment</v>
      </c>
      <c r="AA2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8" s="116" t="str">
        <f t="shared" si="14"/>
        <v/>
      </c>
      <c r="AC28" s="20" t="str">
        <f>IF(AND(E28="Y",D28&lt;PAR!C29),"Non bus miles are less than the minumum of 10 (see column D)",IF(AND(E28="Y",F28&lt;&gt;""),"Non Bus Miles",""))</f>
        <v/>
      </c>
      <c r="AD28" s="20" t="str">
        <f t="shared" si="15"/>
        <v/>
      </c>
      <c r="AE28" s="20" t="str">
        <f t="shared" si="8"/>
        <v>Fill Rated Capacity (see column J),</v>
      </c>
      <c r="AF28" s="20" t="str">
        <f t="shared" si="9"/>
        <v/>
      </c>
      <c r="AG28" s="20" t="str">
        <f t="shared" si="10"/>
        <v>Fill reimbursement % for this LE (see column C)</v>
      </c>
      <c r="AH28" s="20" t="str">
        <f t="shared" si="11"/>
        <v>This route has no eligible riders (see columns L:O)</v>
      </c>
      <c r="AI28" s="20" t="str">
        <f t="shared" si="12"/>
        <v>Fill miles per day (see column D)</v>
      </c>
      <c r="AJ28" s="20" t="str">
        <f t="shared" si="16"/>
        <v>Fill number of operating days (see column F)</v>
      </c>
      <c r="AK28" s="20" t="str">
        <f t="shared" si="17"/>
        <v>Fill Non-Bus Miles with Y or N (See column E)</v>
      </c>
      <c r="AL28" s="98" t="s">
        <v>422</v>
      </c>
      <c r="AM28" s="20" t="str">
        <f t="shared" si="18"/>
        <v/>
      </c>
    </row>
    <row r="29" spans="1:39" x14ac:dyDescent="0.75">
      <c r="A29" s="1" t="s">
        <v>114</v>
      </c>
      <c r="B29" s="131"/>
      <c r="C29" s="36"/>
      <c r="D29" s="42"/>
      <c r="E29" s="47"/>
      <c r="F29" s="44"/>
      <c r="G29" s="35"/>
      <c r="H29" s="18" t="str">
        <f t="shared" si="21"/>
        <v/>
      </c>
      <c r="I29" s="125"/>
      <c r="J29" s="35"/>
      <c r="K29" s="18" t="str">
        <f t="shared" si="22"/>
        <v/>
      </c>
      <c r="L29" s="38"/>
      <c r="M29" s="38"/>
      <c r="N29" s="38"/>
      <c r="O29" s="38"/>
      <c r="P29" s="18" t="str">
        <f t="shared" si="19"/>
        <v/>
      </c>
      <c r="Q29" s="38"/>
      <c r="R29" s="38"/>
      <c r="S29" s="38"/>
      <c r="T29" s="38"/>
      <c r="U29" s="18">
        <f t="shared" si="4"/>
        <v>0</v>
      </c>
      <c r="V29" s="18" t="str">
        <f t="shared" si="20"/>
        <v/>
      </c>
      <c r="W29" s="18" t="str">
        <f>IF(E29="Y",PAR!$C$12,IF(J29="","",IF(J29&lt;11,PAR!$C$6,IF(J29&lt;50,PAR!$C$7,IF(J29&lt;60,PAR!$C$8,IF(J29&lt;70,PAR!$C$9,IF(J29&lt;80,PAR!$C$10,IF(J29&gt;79,PAR!$C$11,0))))))))</f>
        <v/>
      </c>
      <c r="X29" s="18" t="str">
        <f t="shared" si="6"/>
        <v/>
      </c>
      <c r="Y29" s="21" t="str">
        <f t="shared" si="7"/>
        <v/>
      </c>
      <c r="Z29" s="100" t="str">
        <f>IF(IFERROR(IF(E29="Y",(W29*(X29-PAR!$C$15)*Y29)*C29,IF(AA29&lt;&gt;"","See Comment",IFERROR(W29*X29*Y29*C29,"Fill all blue cells"))),"Fill all blue cells")&lt;0,0,(IFERROR(IF(E29="Y",(W29*(X29-PAR!$C$15)*Y29)*C29,IF(AA29&lt;&gt;"","See Comment",IFERROR(W29*X29*Y29*C29,"Fill all blue cells"))),"Fill all blue cells")))</f>
        <v>See Comment</v>
      </c>
      <c r="AA2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9" s="116" t="str">
        <f t="shared" si="14"/>
        <v/>
      </c>
      <c r="AC29" s="20" t="str">
        <f>IF(AND(E29="Y",D29&lt;PAR!C30),"Non bus miles are less than the minumum of 10 (see column D)",IF(AND(E29="Y",F29&lt;&gt;""),"Non Bus Miles",""))</f>
        <v/>
      </c>
      <c r="AD29" s="20" t="str">
        <f t="shared" si="15"/>
        <v/>
      </c>
      <c r="AE29" s="20" t="str">
        <f t="shared" si="8"/>
        <v>Fill Rated Capacity (see column J),</v>
      </c>
      <c r="AF29" s="20" t="str">
        <f t="shared" si="9"/>
        <v/>
      </c>
      <c r="AG29" s="20" t="str">
        <f t="shared" si="10"/>
        <v>Fill reimbursement % for this LE (see column C)</v>
      </c>
      <c r="AH29" s="20" t="str">
        <f t="shared" si="11"/>
        <v>This route has no eligible riders (see columns L:O)</v>
      </c>
      <c r="AI29" s="20" t="str">
        <f t="shared" si="12"/>
        <v>Fill miles per day (see column D)</v>
      </c>
      <c r="AJ29" s="20" t="str">
        <f t="shared" si="16"/>
        <v>Fill number of operating days (see column F)</v>
      </c>
      <c r="AK29" s="20" t="str">
        <f t="shared" si="17"/>
        <v>Fill Non-Bus Miles with Y or N (See column E)</v>
      </c>
      <c r="AL29" s="98" t="s">
        <v>422</v>
      </c>
      <c r="AM29" s="20" t="str">
        <f t="shared" si="18"/>
        <v/>
      </c>
    </row>
    <row r="30" spans="1:39" x14ac:dyDescent="0.75">
      <c r="A30" s="1" t="s">
        <v>115</v>
      </c>
      <c r="B30" s="130"/>
      <c r="C30" s="33"/>
      <c r="D30" s="41"/>
      <c r="E30" s="48"/>
      <c r="F30" s="45"/>
      <c r="G30" s="32"/>
      <c r="H30" s="16" t="str">
        <f t="shared" si="21"/>
        <v/>
      </c>
      <c r="I30" s="126"/>
      <c r="J30" s="32"/>
      <c r="K30" s="16" t="str">
        <f t="shared" si="22"/>
        <v/>
      </c>
      <c r="L30" s="37"/>
      <c r="M30" s="37"/>
      <c r="N30" s="37"/>
      <c r="O30" s="37"/>
      <c r="P30" s="16" t="str">
        <f t="shared" si="19"/>
        <v/>
      </c>
      <c r="Q30" s="37"/>
      <c r="R30" s="37"/>
      <c r="S30" s="37"/>
      <c r="T30" s="37"/>
      <c r="U30" s="16">
        <f t="shared" si="4"/>
        <v>0</v>
      </c>
      <c r="V30" s="16" t="str">
        <f t="shared" si="20"/>
        <v/>
      </c>
      <c r="W30" s="16" t="str">
        <f>IF(E30="Y",PAR!$C$12,IF(J30="","",IF(J30&lt;11,PAR!$C$6,IF(J30&lt;50,PAR!$C$7,IF(J30&lt;60,PAR!$C$8,IF(J30&lt;70,PAR!$C$9,IF(J30&lt;80,PAR!$C$10,IF(J30&gt;79,PAR!$C$11,0))))))))</f>
        <v/>
      </c>
      <c r="X30" s="16" t="str">
        <f t="shared" si="6"/>
        <v/>
      </c>
      <c r="Y30" s="22" t="str">
        <f t="shared" si="7"/>
        <v/>
      </c>
      <c r="Z30" s="100" t="str">
        <f>IF(IFERROR(IF(E30="Y",(W30*(X30-PAR!$C$15)*Y30)*C30,IF(AA30&lt;&gt;"","See Comment",IFERROR(W30*X30*Y30*C30,"Fill all blue cells"))),"Fill all blue cells")&lt;0,0,(IFERROR(IF(E30="Y",(W30*(X30-PAR!$C$15)*Y30)*C30,IF(AA30&lt;&gt;"","See Comment",IFERROR(W30*X30*Y30*C30,"Fill all blue cells"))),"Fill all blue cells")))</f>
        <v>See Comment</v>
      </c>
      <c r="AA3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0" s="116" t="str">
        <f t="shared" si="14"/>
        <v/>
      </c>
      <c r="AC30" s="20" t="str">
        <f>IF(AND(E30="Y",D30&lt;PAR!C31),"Non bus miles are less than the minumum of 10 (see column D)",IF(AND(E30="Y",F30&lt;&gt;""),"Non Bus Miles",""))</f>
        <v/>
      </c>
      <c r="AD30" s="20" t="str">
        <f t="shared" si="15"/>
        <v/>
      </c>
      <c r="AE30" s="20" t="str">
        <f t="shared" si="8"/>
        <v>Fill Rated Capacity (see column J),</v>
      </c>
      <c r="AF30" s="20" t="str">
        <f t="shared" si="9"/>
        <v/>
      </c>
      <c r="AG30" s="20" t="str">
        <f t="shared" si="10"/>
        <v>Fill reimbursement % for this LE (see column C)</v>
      </c>
      <c r="AH30" s="20" t="str">
        <f t="shared" si="11"/>
        <v>This route has no eligible riders (see columns L:O)</v>
      </c>
      <c r="AI30" s="20" t="str">
        <f t="shared" si="12"/>
        <v>Fill miles per day (see column D)</v>
      </c>
      <c r="AJ30" s="20" t="str">
        <f t="shared" si="16"/>
        <v>Fill number of operating days (see column F)</v>
      </c>
      <c r="AK30" s="20" t="str">
        <f t="shared" si="17"/>
        <v>Fill Non-Bus Miles with Y or N (See column E)</v>
      </c>
      <c r="AL30" s="98" t="s">
        <v>422</v>
      </c>
      <c r="AM30" s="20" t="str">
        <f t="shared" si="18"/>
        <v/>
      </c>
    </row>
    <row r="31" spans="1:39" x14ac:dyDescent="0.75">
      <c r="A31" s="1" t="s">
        <v>116</v>
      </c>
      <c r="B31" s="131"/>
      <c r="C31" s="36"/>
      <c r="D31" s="42"/>
      <c r="E31" s="47"/>
      <c r="F31" s="44"/>
      <c r="G31" s="35"/>
      <c r="H31" s="18" t="str">
        <f t="shared" si="21"/>
        <v/>
      </c>
      <c r="I31" s="125"/>
      <c r="J31" s="35"/>
      <c r="K31" s="18" t="str">
        <f t="shared" si="22"/>
        <v/>
      </c>
      <c r="L31" s="38"/>
      <c r="M31" s="38"/>
      <c r="N31" s="38"/>
      <c r="O31" s="38"/>
      <c r="P31" s="18" t="str">
        <f t="shared" si="19"/>
        <v/>
      </c>
      <c r="Q31" s="38"/>
      <c r="R31" s="38"/>
      <c r="S31" s="38"/>
      <c r="T31" s="38"/>
      <c r="U31" s="18">
        <f t="shared" si="4"/>
        <v>0</v>
      </c>
      <c r="V31" s="18" t="str">
        <f t="shared" si="20"/>
        <v/>
      </c>
      <c r="W31" s="18" t="str">
        <f>IF(E31="Y",PAR!$C$12,IF(J31="","",IF(J31&lt;11,PAR!$C$6,IF(J31&lt;50,PAR!$C$7,IF(J31&lt;60,PAR!$C$8,IF(J31&lt;70,PAR!$C$9,IF(J31&lt;80,PAR!$C$10,IF(J31&gt;79,PAR!$C$11,0))))))))</f>
        <v/>
      </c>
      <c r="X31" s="18" t="str">
        <f t="shared" si="6"/>
        <v/>
      </c>
      <c r="Y31" s="21" t="str">
        <f t="shared" si="7"/>
        <v/>
      </c>
      <c r="Z31" s="100" t="str">
        <f>IF(IFERROR(IF(E31="Y",(W31*(X31-PAR!$C$15)*Y31)*C31,IF(AA31&lt;&gt;"","See Comment",IFERROR(W31*X31*Y31*C31,"Fill all blue cells"))),"Fill all blue cells")&lt;0,0,(IFERROR(IF(E31="Y",(W31*(X31-PAR!$C$15)*Y31)*C31,IF(AA31&lt;&gt;"","See Comment",IFERROR(W31*X31*Y31*C31,"Fill all blue cells"))),"Fill all blue cells")))</f>
        <v>See Comment</v>
      </c>
      <c r="AA3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1" s="116" t="str">
        <f t="shared" si="14"/>
        <v/>
      </c>
      <c r="AC31" s="20" t="str">
        <f>IF(AND(E31="Y",D31&lt;PAR!C32),"Non bus miles are less than the minumum of 10 (see column D)",IF(AND(E31="Y",F31&lt;&gt;""),"Non Bus Miles",""))</f>
        <v/>
      </c>
      <c r="AD31" s="20" t="str">
        <f t="shared" si="15"/>
        <v/>
      </c>
      <c r="AE31" s="20" t="str">
        <f t="shared" si="8"/>
        <v>Fill Rated Capacity (see column J),</v>
      </c>
      <c r="AF31" s="20" t="str">
        <f t="shared" si="9"/>
        <v/>
      </c>
      <c r="AG31" s="20" t="str">
        <f t="shared" si="10"/>
        <v>Fill reimbursement % for this LE (see column C)</v>
      </c>
      <c r="AH31" s="20" t="str">
        <f t="shared" si="11"/>
        <v>This route has no eligible riders (see columns L:O)</v>
      </c>
      <c r="AI31" s="20" t="str">
        <f t="shared" si="12"/>
        <v>Fill miles per day (see column D)</v>
      </c>
      <c r="AJ31" s="20" t="str">
        <f t="shared" si="16"/>
        <v>Fill number of operating days (see column F)</v>
      </c>
      <c r="AK31" s="20" t="str">
        <f t="shared" si="17"/>
        <v>Fill Non-Bus Miles with Y or N (See column E)</v>
      </c>
      <c r="AL31" s="98" t="s">
        <v>422</v>
      </c>
      <c r="AM31" s="20" t="str">
        <f t="shared" si="18"/>
        <v/>
      </c>
    </row>
    <row r="32" spans="1:39" x14ac:dyDescent="0.75">
      <c r="A32" s="1" t="s">
        <v>117</v>
      </c>
      <c r="B32" s="130"/>
      <c r="C32" s="33"/>
      <c r="D32" s="41"/>
      <c r="E32" s="48"/>
      <c r="F32" s="45"/>
      <c r="G32" s="32"/>
      <c r="H32" s="16" t="str">
        <f t="shared" si="21"/>
        <v/>
      </c>
      <c r="I32" s="126"/>
      <c r="J32" s="32"/>
      <c r="K32" s="16" t="str">
        <f t="shared" si="22"/>
        <v/>
      </c>
      <c r="L32" s="37"/>
      <c r="M32" s="37"/>
      <c r="N32" s="37"/>
      <c r="O32" s="37"/>
      <c r="P32" s="16" t="str">
        <f t="shared" si="19"/>
        <v/>
      </c>
      <c r="Q32" s="37"/>
      <c r="R32" s="37"/>
      <c r="S32" s="37"/>
      <c r="T32" s="37"/>
      <c r="U32" s="16">
        <f t="shared" si="4"/>
        <v>0</v>
      </c>
      <c r="V32" s="16" t="str">
        <f t="shared" si="20"/>
        <v/>
      </c>
      <c r="W32" s="16" t="str">
        <f>IF(E32="Y",PAR!$C$12,IF(J32="","",IF(J32&lt;11,PAR!$C$6,IF(J32&lt;50,PAR!$C$7,IF(J32&lt;60,PAR!$C$8,IF(J32&lt;70,PAR!$C$9,IF(J32&lt;80,PAR!$C$10,IF(J32&gt;79,PAR!$C$11,0))))))))</f>
        <v/>
      </c>
      <c r="X32" s="16" t="str">
        <f t="shared" si="6"/>
        <v/>
      </c>
      <c r="Y32" s="22" t="str">
        <f t="shared" si="7"/>
        <v/>
      </c>
      <c r="Z32" s="100" t="str">
        <f>IF(IFERROR(IF(E32="Y",(W32*(X32-PAR!$C$15)*Y32)*C32,IF(AA32&lt;&gt;"","See Comment",IFERROR(W32*X32*Y32*C32,"Fill all blue cells"))),"Fill all blue cells")&lt;0,0,(IFERROR(IF(E32="Y",(W32*(X32-PAR!$C$15)*Y32)*C32,IF(AA32&lt;&gt;"","See Comment",IFERROR(W32*X32*Y32*C32,"Fill all blue cells"))),"Fill all blue cells")))</f>
        <v>See Comment</v>
      </c>
      <c r="AA3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2" s="116" t="str">
        <f t="shared" si="14"/>
        <v/>
      </c>
      <c r="AC32" s="20" t="str">
        <f>IF(AND(E32="Y",D32&lt;PAR!C33),"Non bus miles are less than the minumum of 10 (see column D)",IF(AND(E32="Y",F32&lt;&gt;""),"Non Bus Miles",""))</f>
        <v/>
      </c>
      <c r="AD32" s="20" t="str">
        <f t="shared" si="15"/>
        <v/>
      </c>
      <c r="AE32" s="20" t="str">
        <f t="shared" si="8"/>
        <v>Fill Rated Capacity (see column J),</v>
      </c>
      <c r="AF32" s="20" t="str">
        <f t="shared" si="9"/>
        <v/>
      </c>
      <c r="AG32" s="20" t="str">
        <f t="shared" si="10"/>
        <v>Fill reimbursement % for this LE (see column C)</v>
      </c>
      <c r="AH32" s="20" t="str">
        <f t="shared" si="11"/>
        <v>This route has no eligible riders (see columns L:O)</v>
      </c>
      <c r="AI32" s="20" t="str">
        <f t="shared" si="12"/>
        <v>Fill miles per day (see column D)</v>
      </c>
      <c r="AJ32" s="20" t="str">
        <f t="shared" si="16"/>
        <v>Fill number of operating days (see column F)</v>
      </c>
      <c r="AK32" s="20" t="str">
        <f t="shared" si="17"/>
        <v>Fill Non-Bus Miles with Y or N (See column E)</v>
      </c>
      <c r="AL32" s="98" t="s">
        <v>422</v>
      </c>
      <c r="AM32" s="20" t="str">
        <f t="shared" si="18"/>
        <v/>
      </c>
    </row>
    <row r="33" spans="1:39" x14ac:dyDescent="0.75">
      <c r="A33" s="1" t="s">
        <v>118</v>
      </c>
      <c r="B33" s="131"/>
      <c r="C33" s="36"/>
      <c r="D33" s="42"/>
      <c r="E33" s="47"/>
      <c r="F33" s="44"/>
      <c r="G33" s="35"/>
      <c r="H33" s="18"/>
      <c r="I33" s="125"/>
      <c r="J33" s="35"/>
      <c r="K33" s="18" t="str">
        <f t="shared" si="22"/>
        <v/>
      </c>
      <c r="L33" s="38"/>
      <c r="M33" s="38"/>
      <c r="N33" s="38"/>
      <c r="O33" s="38"/>
      <c r="P33" s="18" t="str">
        <f t="shared" si="19"/>
        <v/>
      </c>
      <c r="Q33" s="38"/>
      <c r="R33" s="38"/>
      <c r="S33" s="38"/>
      <c r="T33" s="38"/>
      <c r="U33" s="18">
        <f t="shared" si="4"/>
        <v>0</v>
      </c>
      <c r="V33" s="18" t="str">
        <f t="shared" si="20"/>
        <v/>
      </c>
      <c r="W33" s="18" t="str">
        <f>IF(E33="Y",PAR!$C$12,IF(J33="","",IF(J33&lt;11,PAR!$C$6,IF(J33&lt;50,PAR!$C$7,IF(J33&lt;60,PAR!$C$8,IF(J33&lt;70,PAR!$C$9,IF(J33&lt;80,PAR!$C$10,IF(J33&gt;79,PAR!$C$11,0))))))))</f>
        <v/>
      </c>
      <c r="X33" s="18" t="str">
        <f t="shared" si="6"/>
        <v/>
      </c>
      <c r="Y33" s="21" t="str">
        <f t="shared" si="7"/>
        <v/>
      </c>
      <c r="Z33" s="100" t="str">
        <f>IF(IFERROR(IF(E33="Y",(W33*(X33-PAR!$C$15)*Y33)*C33,IF(AA33&lt;&gt;"","See Comment",IFERROR(W33*X33*Y33*C33,"Fill all blue cells"))),"Fill all blue cells")&lt;0,0,(IFERROR(IF(E33="Y",(W33*(X33-PAR!$C$15)*Y33)*C33,IF(AA33&lt;&gt;"","See Comment",IFERROR(W33*X33*Y33*C33,"Fill all blue cells"))),"Fill all blue cells")))</f>
        <v>See Comment</v>
      </c>
      <c r="AA3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3" s="116" t="str">
        <f t="shared" si="14"/>
        <v/>
      </c>
      <c r="AC33" s="20" t="str">
        <f>IF(AND(E33="Y",D33&lt;PAR!C34),"Non bus miles are less than the minumum of 10 (see column D)",IF(AND(E33="Y",F33&lt;&gt;""),"Non Bus Miles",""))</f>
        <v/>
      </c>
      <c r="AD33" s="20" t="str">
        <f t="shared" si="15"/>
        <v/>
      </c>
      <c r="AE33" s="20" t="str">
        <f t="shared" si="8"/>
        <v>Fill Rated Capacity (see column J),</v>
      </c>
      <c r="AF33" s="20" t="str">
        <f t="shared" si="9"/>
        <v/>
      </c>
      <c r="AG33" s="20" t="str">
        <f t="shared" si="10"/>
        <v>Fill reimbursement % for this LE (see column C)</v>
      </c>
      <c r="AH33" s="20" t="str">
        <f t="shared" si="11"/>
        <v>This route has no eligible riders (see columns L:O)</v>
      </c>
      <c r="AI33" s="20" t="str">
        <f t="shared" si="12"/>
        <v>Fill miles per day (see column D)</v>
      </c>
      <c r="AJ33" s="20" t="str">
        <f t="shared" si="16"/>
        <v>Fill number of operating days (see column F)</v>
      </c>
      <c r="AK33" s="20" t="str">
        <f t="shared" si="17"/>
        <v>Fill Non-Bus Miles with Y or N (See column E)</v>
      </c>
      <c r="AL33" s="98" t="s">
        <v>422</v>
      </c>
      <c r="AM33" s="20" t="str">
        <f t="shared" si="18"/>
        <v/>
      </c>
    </row>
    <row r="34" spans="1:39" x14ac:dyDescent="0.75">
      <c r="A34" s="1" t="s">
        <v>119</v>
      </c>
      <c r="B34" s="130"/>
      <c r="C34" s="33"/>
      <c r="D34" s="41"/>
      <c r="E34" s="48"/>
      <c r="F34" s="45"/>
      <c r="G34" s="32"/>
      <c r="H34" s="16"/>
      <c r="I34" s="126"/>
      <c r="J34" s="32"/>
      <c r="K34" s="16" t="str">
        <f t="shared" si="22"/>
        <v/>
      </c>
      <c r="L34" s="37"/>
      <c r="M34" s="37"/>
      <c r="N34" s="37"/>
      <c r="O34" s="37"/>
      <c r="P34" s="16" t="str">
        <f t="shared" si="19"/>
        <v/>
      </c>
      <c r="Q34" s="37"/>
      <c r="R34" s="37"/>
      <c r="S34" s="37"/>
      <c r="T34" s="37"/>
      <c r="U34" s="16">
        <f t="shared" si="4"/>
        <v>0</v>
      </c>
      <c r="V34" s="16" t="str">
        <f t="shared" si="20"/>
        <v/>
      </c>
      <c r="W34" s="16" t="str">
        <f>IF(E34="Y",PAR!$C$12,IF(J34="","",IF(J34&lt;11,PAR!$C$6,IF(J34&lt;50,PAR!$C$7,IF(J34&lt;60,PAR!$C$8,IF(J34&lt;70,PAR!$C$9,IF(J34&lt;80,PAR!$C$10,IF(J34&gt;79,PAR!$C$11,0))))))))</f>
        <v/>
      </c>
      <c r="X34" s="16" t="str">
        <f t="shared" si="6"/>
        <v/>
      </c>
      <c r="Y34" s="22" t="str">
        <f t="shared" si="7"/>
        <v/>
      </c>
      <c r="Z34" s="100" t="str">
        <f>IF(IFERROR(IF(E34="Y",(W34*(X34-PAR!$C$15)*Y34)*C34,IF(AA34&lt;&gt;"","See Comment",IFERROR(W34*X34*Y34*C34,"Fill all blue cells"))),"Fill all blue cells")&lt;0,0,(IFERROR(IF(E34="Y",(W34*(X34-PAR!$C$15)*Y34)*C34,IF(AA34&lt;&gt;"","See Comment",IFERROR(W34*X34*Y34*C34,"Fill all blue cells"))),"Fill all blue cells")))</f>
        <v>See Comment</v>
      </c>
      <c r="AA3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4" s="116" t="str">
        <f t="shared" si="14"/>
        <v/>
      </c>
      <c r="AC34" s="20" t="str">
        <f>IF(AND(E34="Y",D34&lt;PAR!C35),"Non bus miles are less than the minumum of 10 (see column D)",IF(AND(E34="Y",F34&lt;&gt;""),"Non Bus Miles",""))</f>
        <v/>
      </c>
      <c r="AD34" s="20" t="str">
        <f t="shared" si="15"/>
        <v/>
      </c>
      <c r="AE34" s="20" t="str">
        <f t="shared" si="8"/>
        <v>Fill Rated Capacity (see column J),</v>
      </c>
      <c r="AF34" s="20" t="str">
        <f t="shared" si="9"/>
        <v/>
      </c>
      <c r="AG34" s="20" t="str">
        <f t="shared" si="10"/>
        <v>Fill reimbursement % for this LE (see column C)</v>
      </c>
      <c r="AH34" s="20" t="str">
        <f t="shared" si="11"/>
        <v>This route has no eligible riders (see columns L:O)</v>
      </c>
      <c r="AI34" s="20" t="str">
        <f t="shared" si="12"/>
        <v>Fill miles per day (see column D)</v>
      </c>
      <c r="AJ34" s="20" t="str">
        <f t="shared" si="16"/>
        <v>Fill number of operating days (see column F)</v>
      </c>
      <c r="AK34" s="20" t="str">
        <f t="shared" si="17"/>
        <v>Fill Non-Bus Miles with Y or N (See column E)</v>
      </c>
      <c r="AL34" s="98" t="s">
        <v>422</v>
      </c>
      <c r="AM34" s="20" t="str">
        <f t="shared" si="18"/>
        <v/>
      </c>
    </row>
    <row r="35" spans="1:39" x14ac:dyDescent="0.75">
      <c r="A35" s="1" t="s">
        <v>120</v>
      </c>
      <c r="B35" s="131"/>
      <c r="C35" s="36"/>
      <c r="D35" s="42"/>
      <c r="E35" s="47"/>
      <c r="F35" s="44"/>
      <c r="G35" s="35"/>
      <c r="H35" s="18"/>
      <c r="I35" s="125"/>
      <c r="J35" s="35"/>
      <c r="K35" s="18" t="str">
        <f t="shared" si="22"/>
        <v/>
      </c>
      <c r="L35" s="38"/>
      <c r="M35" s="38"/>
      <c r="N35" s="38"/>
      <c r="O35" s="38"/>
      <c r="P35" s="18" t="str">
        <f t="shared" si="19"/>
        <v/>
      </c>
      <c r="Q35" s="38"/>
      <c r="R35" s="38"/>
      <c r="S35" s="38"/>
      <c r="T35" s="38"/>
      <c r="U35" s="18">
        <f t="shared" si="4"/>
        <v>0</v>
      </c>
      <c r="V35" s="18" t="str">
        <f t="shared" si="20"/>
        <v/>
      </c>
      <c r="W35" s="18" t="str">
        <f>IF(E35="Y",PAR!$C$12,IF(J35="","",IF(J35&lt;11,PAR!$C$6,IF(J35&lt;50,PAR!$C$7,IF(J35&lt;60,PAR!$C$8,IF(J35&lt;70,PAR!$C$9,IF(J35&lt;80,PAR!$C$10,IF(J35&gt;79,PAR!$C$11,0))))))))</f>
        <v/>
      </c>
      <c r="X35" s="18" t="str">
        <f t="shared" si="6"/>
        <v/>
      </c>
      <c r="Y35" s="21" t="str">
        <f t="shared" si="7"/>
        <v/>
      </c>
      <c r="Z35" s="100" t="str">
        <f>IF(IFERROR(IF(E35="Y",(W35*(X35-PAR!$C$15)*Y35)*C35,IF(AA35&lt;&gt;"","See Comment",IFERROR(W35*X35*Y35*C35,"Fill all blue cells"))),"Fill all blue cells")&lt;0,0,(IFERROR(IF(E35="Y",(W35*(X35-PAR!$C$15)*Y35)*C35,IF(AA35&lt;&gt;"","See Comment",IFERROR(W35*X35*Y35*C35,"Fill all blue cells"))),"Fill all blue cells")))</f>
        <v>See Comment</v>
      </c>
      <c r="AA3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5" s="116" t="str">
        <f t="shared" si="14"/>
        <v/>
      </c>
      <c r="AC35" s="20" t="str">
        <f>IF(AND(E35="Y",D35&lt;PAR!C36),"Non bus miles are less than the minumum of 10 (see column D)",IF(AND(E35="Y",F35&lt;&gt;""),"Non Bus Miles",""))</f>
        <v/>
      </c>
      <c r="AD35" s="20" t="str">
        <f t="shared" si="15"/>
        <v/>
      </c>
      <c r="AE35" s="20" t="str">
        <f t="shared" si="8"/>
        <v>Fill Rated Capacity (see column J),</v>
      </c>
      <c r="AF35" s="20" t="str">
        <f t="shared" si="9"/>
        <v/>
      </c>
      <c r="AG35" s="20" t="str">
        <f t="shared" si="10"/>
        <v>Fill reimbursement % for this LE (see column C)</v>
      </c>
      <c r="AH35" s="20" t="str">
        <f t="shared" si="11"/>
        <v>This route has no eligible riders (see columns L:O)</v>
      </c>
      <c r="AI35" s="20" t="str">
        <f t="shared" si="12"/>
        <v>Fill miles per day (see column D)</v>
      </c>
      <c r="AJ35" s="20" t="str">
        <f t="shared" si="16"/>
        <v>Fill number of operating days (see column F)</v>
      </c>
      <c r="AK35" s="20" t="str">
        <f t="shared" si="17"/>
        <v>Fill Non-Bus Miles with Y or N (See column E)</v>
      </c>
      <c r="AL35" s="98" t="s">
        <v>422</v>
      </c>
      <c r="AM35" s="20" t="str">
        <f t="shared" si="18"/>
        <v/>
      </c>
    </row>
    <row r="36" spans="1:39" x14ac:dyDescent="0.75">
      <c r="A36" s="1" t="s">
        <v>121</v>
      </c>
      <c r="B36" s="130"/>
      <c r="C36" s="33"/>
      <c r="D36" s="41"/>
      <c r="E36" s="48"/>
      <c r="F36" s="45"/>
      <c r="G36" s="32"/>
      <c r="H36" s="16"/>
      <c r="I36" s="126"/>
      <c r="J36" s="32"/>
      <c r="K36" s="16" t="str">
        <f t="shared" si="22"/>
        <v/>
      </c>
      <c r="L36" s="37"/>
      <c r="M36" s="37"/>
      <c r="N36" s="37"/>
      <c r="O36" s="37"/>
      <c r="P36" s="16" t="str">
        <f t="shared" si="19"/>
        <v/>
      </c>
      <c r="Q36" s="37"/>
      <c r="R36" s="37"/>
      <c r="S36" s="37"/>
      <c r="T36" s="37"/>
      <c r="U36" s="16">
        <f t="shared" si="4"/>
        <v>0</v>
      </c>
      <c r="V36" s="16" t="str">
        <f t="shared" si="20"/>
        <v/>
      </c>
      <c r="W36" s="16" t="str">
        <f>IF(E36="Y",PAR!$C$12,IF(J36="","",IF(J36&lt;11,PAR!$C$6,IF(J36&lt;50,PAR!$C$7,IF(J36&lt;60,PAR!$C$8,IF(J36&lt;70,PAR!$C$9,IF(J36&lt;80,PAR!$C$10,IF(J36&gt;79,PAR!$C$11,0))))))))</f>
        <v/>
      </c>
      <c r="X36" s="16" t="str">
        <f t="shared" si="6"/>
        <v/>
      </c>
      <c r="Y36" s="22" t="str">
        <f t="shared" si="7"/>
        <v/>
      </c>
      <c r="Z36" s="100" t="str">
        <f>IF(IFERROR(IF(E36="Y",(W36*(X36-PAR!$C$15)*Y36)*C36,IF(AA36&lt;&gt;"","See Comment",IFERROR(W36*X36*Y36*C36,"Fill all blue cells"))),"Fill all blue cells")&lt;0,0,(IFERROR(IF(E36="Y",(W36*(X36-PAR!$C$15)*Y36)*C36,IF(AA36&lt;&gt;"","See Comment",IFERROR(W36*X36*Y36*C36,"Fill all blue cells"))),"Fill all blue cells")))</f>
        <v>See Comment</v>
      </c>
      <c r="AA3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6" s="116" t="str">
        <f t="shared" si="14"/>
        <v/>
      </c>
      <c r="AC36" s="20" t="str">
        <f>IF(AND(E36="Y",D36&lt;PAR!C37),"Non bus miles are less than the minumum of 10 (see column D)",IF(AND(E36="Y",F36&lt;&gt;""),"Non Bus Miles",""))</f>
        <v/>
      </c>
      <c r="AD36" s="20" t="str">
        <f t="shared" si="15"/>
        <v/>
      </c>
      <c r="AE36" s="20" t="str">
        <f t="shared" si="8"/>
        <v>Fill Rated Capacity (see column J),</v>
      </c>
      <c r="AF36" s="20" t="str">
        <f t="shared" si="9"/>
        <v/>
      </c>
      <c r="AG36" s="20" t="str">
        <f t="shared" si="10"/>
        <v>Fill reimbursement % for this LE (see column C)</v>
      </c>
      <c r="AH36" s="20" t="str">
        <f t="shared" si="11"/>
        <v>This route has no eligible riders (see columns L:O)</v>
      </c>
      <c r="AI36" s="20" t="str">
        <f t="shared" si="12"/>
        <v>Fill miles per day (see column D)</v>
      </c>
      <c r="AJ36" s="20" t="str">
        <f t="shared" si="16"/>
        <v>Fill number of operating days (see column F)</v>
      </c>
      <c r="AK36" s="20" t="str">
        <f t="shared" si="17"/>
        <v>Fill Non-Bus Miles with Y or N (See column E)</v>
      </c>
      <c r="AL36" s="98" t="s">
        <v>422</v>
      </c>
      <c r="AM36" s="20" t="str">
        <f t="shared" si="18"/>
        <v/>
      </c>
    </row>
    <row r="37" spans="1:39" x14ac:dyDescent="0.75">
      <c r="A37" s="1" t="s">
        <v>122</v>
      </c>
      <c r="B37" s="131"/>
      <c r="C37" s="36"/>
      <c r="D37" s="42"/>
      <c r="E37" s="47"/>
      <c r="F37" s="44"/>
      <c r="G37" s="35"/>
      <c r="H37" s="18"/>
      <c r="I37" s="125"/>
      <c r="J37" s="35"/>
      <c r="K37" s="18" t="str">
        <f t="shared" si="22"/>
        <v/>
      </c>
      <c r="L37" s="38"/>
      <c r="M37" s="38"/>
      <c r="N37" s="38"/>
      <c r="O37" s="38"/>
      <c r="P37" s="18" t="str">
        <f t="shared" si="19"/>
        <v/>
      </c>
      <c r="Q37" s="38"/>
      <c r="R37" s="38"/>
      <c r="S37" s="38"/>
      <c r="T37" s="38"/>
      <c r="U37" s="18">
        <f t="shared" si="4"/>
        <v>0</v>
      </c>
      <c r="V37" s="18" t="str">
        <f t="shared" si="20"/>
        <v/>
      </c>
      <c r="W37" s="18" t="str">
        <f>IF(E37="Y",PAR!$C$12,IF(J37="","",IF(J37&lt;11,PAR!$C$6,IF(J37&lt;50,PAR!$C$7,IF(J37&lt;60,PAR!$C$8,IF(J37&lt;70,PAR!$C$9,IF(J37&lt;80,PAR!$C$10,IF(J37&gt;79,PAR!$C$11,0))))))))</f>
        <v/>
      </c>
      <c r="X37" s="18" t="str">
        <f t="shared" si="6"/>
        <v/>
      </c>
      <c r="Y37" s="21" t="str">
        <f t="shared" si="7"/>
        <v/>
      </c>
      <c r="Z37" s="100" t="str">
        <f>IF(IFERROR(IF(E37="Y",(W37*(X37-PAR!$C$15)*Y37)*C37,IF(AA37&lt;&gt;"","See Comment",IFERROR(W37*X37*Y37*C37,"Fill all blue cells"))),"Fill all blue cells")&lt;0,0,(IFERROR(IF(E37="Y",(W37*(X37-PAR!$C$15)*Y37)*C37,IF(AA37&lt;&gt;"","See Comment",IFERROR(W37*X37*Y37*C37,"Fill all blue cells"))),"Fill all blue cells")))</f>
        <v>See Comment</v>
      </c>
      <c r="AA3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7" s="116" t="str">
        <f t="shared" si="14"/>
        <v/>
      </c>
      <c r="AC37" s="20" t="str">
        <f>IF(AND(E37="Y",D37&lt;PAR!C38),"Non bus miles are less than the minumum of 10 (see column D)",IF(AND(E37="Y",F37&lt;&gt;""),"Non Bus Miles",""))</f>
        <v/>
      </c>
      <c r="AD37" s="20" t="str">
        <f t="shared" si="15"/>
        <v/>
      </c>
      <c r="AE37" s="20" t="str">
        <f t="shared" si="8"/>
        <v>Fill Rated Capacity (see column J),</v>
      </c>
      <c r="AF37" s="20" t="str">
        <f t="shared" si="9"/>
        <v/>
      </c>
      <c r="AG37" s="20" t="str">
        <f t="shared" si="10"/>
        <v>Fill reimbursement % for this LE (see column C)</v>
      </c>
      <c r="AH37" s="20" t="str">
        <f t="shared" si="11"/>
        <v>This route has no eligible riders (see columns L:O)</v>
      </c>
      <c r="AI37" s="20" t="str">
        <f t="shared" si="12"/>
        <v>Fill miles per day (see column D)</v>
      </c>
      <c r="AJ37" s="20" t="str">
        <f t="shared" si="16"/>
        <v>Fill number of operating days (see column F)</v>
      </c>
      <c r="AK37" s="20" t="str">
        <f t="shared" si="17"/>
        <v>Fill Non-Bus Miles with Y or N (See column E)</v>
      </c>
      <c r="AL37" s="98" t="s">
        <v>422</v>
      </c>
      <c r="AM37" s="20" t="str">
        <f t="shared" si="18"/>
        <v/>
      </c>
    </row>
    <row r="38" spans="1:39" x14ac:dyDescent="0.75">
      <c r="A38" s="1" t="s">
        <v>123</v>
      </c>
      <c r="B38" s="130"/>
      <c r="C38" s="33"/>
      <c r="D38" s="41"/>
      <c r="E38" s="48"/>
      <c r="F38" s="45"/>
      <c r="G38" s="32"/>
      <c r="H38" s="16"/>
      <c r="I38" s="126"/>
      <c r="J38" s="32"/>
      <c r="K38" s="16" t="str">
        <f t="shared" si="22"/>
        <v/>
      </c>
      <c r="L38" s="37"/>
      <c r="M38" s="37"/>
      <c r="N38" s="37"/>
      <c r="O38" s="37"/>
      <c r="P38" s="16" t="str">
        <f t="shared" si="19"/>
        <v/>
      </c>
      <c r="Q38" s="37"/>
      <c r="R38" s="37"/>
      <c r="S38" s="37"/>
      <c r="T38" s="37"/>
      <c r="U38" s="16">
        <f t="shared" si="4"/>
        <v>0</v>
      </c>
      <c r="V38" s="16" t="str">
        <f t="shared" si="20"/>
        <v/>
      </c>
      <c r="W38" s="16" t="str">
        <f>IF(E38="Y",PAR!$C$12,IF(J38="","",IF(J38&lt;11,PAR!$C$6,IF(J38&lt;50,PAR!$C$7,IF(J38&lt;60,PAR!$C$8,IF(J38&lt;70,PAR!$C$9,IF(J38&lt;80,PAR!$C$10,IF(J38&gt;79,PAR!$C$11,0))))))))</f>
        <v/>
      </c>
      <c r="X38" s="16" t="str">
        <f t="shared" si="6"/>
        <v/>
      </c>
      <c r="Y38" s="22" t="str">
        <f t="shared" si="7"/>
        <v/>
      </c>
      <c r="Z38" s="100" t="str">
        <f>IF(IFERROR(IF(E38="Y",(W38*(X38-PAR!$C$15)*Y38)*C38,IF(AA38&lt;&gt;"","See Comment",IFERROR(W38*X38*Y38*C38,"Fill all blue cells"))),"Fill all blue cells")&lt;0,0,(IFERROR(IF(E38="Y",(W38*(X38-PAR!$C$15)*Y38)*C38,IF(AA38&lt;&gt;"","See Comment",IFERROR(W38*X38*Y38*C38,"Fill all blue cells"))),"Fill all blue cells")))</f>
        <v>See Comment</v>
      </c>
      <c r="AA3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8" s="116" t="str">
        <f t="shared" si="14"/>
        <v/>
      </c>
      <c r="AC38" s="20" t="str">
        <f>IF(AND(E38="Y",D38&lt;PAR!C39),"Non bus miles are less than the minumum of 10 (see column D)",IF(AND(E38="Y",F38&lt;&gt;""),"Non Bus Miles",""))</f>
        <v/>
      </c>
      <c r="AD38" s="20" t="str">
        <f t="shared" si="15"/>
        <v/>
      </c>
      <c r="AE38" s="20" t="str">
        <f t="shared" si="8"/>
        <v>Fill Rated Capacity (see column J),</v>
      </c>
      <c r="AF38" s="20" t="str">
        <f t="shared" si="9"/>
        <v/>
      </c>
      <c r="AG38" s="20" t="str">
        <f t="shared" si="10"/>
        <v>Fill reimbursement % for this LE (see column C)</v>
      </c>
      <c r="AH38" s="20" t="str">
        <f t="shared" si="11"/>
        <v>This route has no eligible riders (see columns L:O)</v>
      </c>
      <c r="AI38" s="20" t="str">
        <f t="shared" si="12"/>
        <v>Fill miles per day (see column D)</v>
      </c>
      <c r="AJ38" s="20" t="str">
        <f t="shared" si="16"/>
        <v>Fill number of operating days (see column F)</v>
      </c>
      <c r="AK38" s="20" t="str">
        <f t="shared" si="17"/>
        <v>Fill Non-Bus Miles with Y or N (See column E)</v>
      </c>
      <c r="AL38" s="98" t="s">
        <v>422</v>
      </c>
      <c r="AM38" s="20" t="str">
        <f t="shared" si="18"/>
        <v/>
      </c>
    </row>
    <row r="39" spans="1:39" x14ac:dyDescent="0.75">
      <c r="A39" s="1" t="s">
        <v>124</v>
      </c>
      <c r="B39" s="131"/>
      <c r="C39" s="36"/>
      <c r="D39" s="42"/>
      <c r="E39" s="47"/>
      <c r="F39" s="44"/>
      <c r="G39" s="35"/>
      <c r="H39" s="18"/>
      <c r="I39" s="125"/>
      <c r="J39" s="35"/>
      <c r="K39" s="18" t="str">
        <f t="shared" si="22"/>
        <v/>
      </c>
      <c r="L39" s="38"/>
      <c r="M39" s="38"/>
      <c r="N39" s="38"/>
      <c r="O39" s="38"/>
      <c r="P39" s="18" t="str">
        <f t="shared" si="19"/>
        <v/>
      </c>
      <c r="Q39" s="38"/>
      <c r="R39" s="38"/>
      <c r="S39" s="38"/>
      <c r="T39" s="38"/>
      <c r="U39" s="18">
        <f t="shared" si="4"/>
        <v>0</v>
      </c>
      <c r="V39" s="18" t="str">
        <f t="shared" si="20"/>
        <v/>
      </c>
      <c r="W39" s="18" t="str">
        <f>IF(E39="Y",PAR!$C$12,IF(J39="","",IF(J39&lt;11,PAR!$C$6,IF(J39&lt;50,PAR!$C$7,IF(J39&lt;60,PAR!$C$8,IF(J39&lt;70,PAR!$C$9,IF(J39&lt;80,PAR!$C$10,IF(J39&gt;79,PAR!$C$11,0))))))))</f>
        <v/>
      </c>
      <c r="X39" s="18" t="str">
        <f t="shared" si="6"/>
        <v/>
      </c>
      <c r="Y39" s="21" t="str">
        <f t="shared" si="7"/>
        <v/>
      </c>
      <c r="Z39" s="100" t="str">
        <f>IF(IFERROR(IF(E39="Y",(W39*(X39-PAR!$C$15)*Y39)*C39,IF(AA39&lt;&gt;"","See Comment",IFERROR(W39*X39*Y39*C39,"Fill all blue cells"))),"Fill all blue cells")&lt;0,0,(IFERROR(IF(E39="Y",(W39*(X39-PAR!$C$15)*Y39)*C39,IF(AA39&lt;&gt;"","See Comment",IFERROR(W39*X39*Y39*C39,"Fill all blue cells"))),"Fill all blue cells")))</f>
        <v>See Comment</v>
      </c>
      <c r="AA3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9" s="116" t="str">
        <f t="shared" si="14"/>
        <v/>
      </c>
      <c r="AC39" s="20" t="str">
        <f>IF(AND(E39="Y",D39&lt;PAR!C40),"Non bus miles are less than the minumum of 10 (see column D)",IF(AND(E39="Y",F39&lt;&gt;""),"Non Bus Miles",""))</f>
        <v/>
      </c>
      <c r="AD39" s="20" t="str">
        <f t="shared" si="15"/>
        <v/>
      </c>
      <c r="AE39" s="20" t="str">
        <f t="shared" si="8"/>
        <v>Fill Rated Capacity (see column J),</v>
      </c>
      <c r="AF39" s="20" t="str">
        <f t="shared" si="9"/>
        <v/>
      </c>
      <c r="AG39" s="20" t="str">
        <f t="shared" si="10"/>
        <v>Fill reimbursement % for this LE (see column C)</v>
      </c>
      <c r="AH39" s="20" t="str">
        <f t="shared" si="11"/>
        <v>This route has no eligible riders (see columns L:O)</v>
      </c>
      <c r="AI39" s="20" t="str">
        <f t="shared" si="12"/>
        <v>Fill miles per day (see column D)</v>
      </c>
      <c r="AJ39" s="20" t="str">
        <f t="shared" si="16"/>
        <v>Fill number of operating days (see column F)</v>
      </c>
      <c r="AK39" s="20" t="str">
        <f t="shared" si="17"/>
        <v>Fill Non-Bus Miles with Y or N (See column E)</v>
      </c>
      <c r="AL39" s="98" t="s">
        <v>422</v>
      </c>
      <c r="AM39" s="20" t="str">
        <f t="shared" si="18"/>
        <v/>
      </c>
    </row>
    <row r="40" spans="1:39" x14ac:dyDescent="0.75">
      <c r="A40" s="1" t="s">
        <v>125</v>
      </c>
      <c r="B40" s="130"/>
      <c r="C40" s="33"/>
      <c r="D40" s="41"/>
      <c r="E40" s="48"/>
      <c r="F40" s="45"/>
      <c r="G40" s="32"/>
      <c r="H40" s="16"/>
      <c r="I40" s="126"/>
      <c r="J40" s="32"/>
      <c r="K40" s="16" t="str">
        <f t="shared" si="22"/>
        <v/>
      </c>
      <c r="L40" s="37"/>
      <c r="M40" s="37"/>
      <c r="N40" s="37"/>
      <c r="O40" s="37"/>
      <c r="P40" s="16" t="str">
        <f t="shared" si="19"/>
        <v/>
      </c>
      <c r="Q40" s="37"/>
      <c r="R40" s="37"/>
      <c r="S40" s="37"/>
      <c r="T40" s="37"/>
      <c r="U40" s="16">
        <f t="shared" si="4"/>
        <v>0</v>
      </c>
      <c r="V40" s="16" t="str">
        <f t="shared" si="20"/>
        <v/>
      </c>
      <c r="W40" s="16" t="str">
        <f>IF(E40="Y",PAR!$C$12,IF(J40="","",IF(J40&lt;11,PAR!$C$6,IF(J40&lt;50,PAR!$C$7,IF(J40&lt;60,PAR!$C$8,IF(J40&lt;70,PAR!$C$9,IF(J40&lt;80,PAR!$C$10,IF(J40&gt;79,PAR!$C$11,0))))))))</f>
        <v/>
      </c>
      <c r="X40" s="16" t="str">
        <f t="shared" si="6"/>
        <v/>
      </c>
      <c r="Y40" s="22" t="str">
        <f t="shared" si="7"/>
        <v/>
      </c>
      <c r="Z40" s="100" t="str">
        <f>IF(IFERROR(IF(E40="Y",(W40*(X40-PAR!$C$15)*Y40)*C40,IF(AA40&lt;&gt;"","See Comment",IFERROR(W40*X40*Y40*C40,"Fill all blue cells"))),"Fill all blue cells")&lt;0,0,(IFERROR(IF(E40="Y",(W40*(X40-PAR!$C$15)*Y40)*C40,IF(AA40&lt;&gt;"","See Comment",IFERROR(W40*X40*Y40*C40,"Fill all blue cells"))),"Fill all blue cells")))</f>
        <v>See Comment</v>
      </c>
      <c r="AA4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0" s="116" t="str">
        <f t="shared" si="14"/>
        <v/>
      </c>
      <c r="AC40" s="20" t="str">
        <f>IF(AND(E40="Y",D40&lt;PAR!C41),"Non bus miles are less than the minumum of 10 (see column D)",IF(AND(E40="Y",F40&lt;&gt;""),"Non Bus Miles",""))</f>
        <v/>
      </c>
      <c r="AD40" s="20" t="str">
        <f t="shared" si="15"/>
        <v/>
      </c>
      <c r="AE40" s="20" t="str">
        <f t="shared" si="8"/>
        <v>Fill Rated Capacity (see column J),</v>
      </c>
      <c r="AF40" s="20" t="str">
        <f t="shared" si="9"/>
        <v/>
      </c>
      <c r="AG40" s="20" t="str">
        <f t="shared" si="10"/>
        <v>Fill reimbursement % for this LE (see column C)</v>
      </c>
      <c r="AH40" s="20" t="str">
        <f t="shared" si="11"/>
        <v>This route has no eligible riders (see columns L:O)</v>
      </c>
      <c r="AI40" s="20" t="str">
        <f t="shared" si="12"/>
        <v>Fill miles per day (see column D)</v>
      </c>
      <c r="AJ40" s="20" t="str">
        <f t="shared" si="16"/>
        <v>Fill number of operating days (see column F)</v>
      </c>
      <c r="AK40" s="20" t="str">
        <f t="shared" si="17"/>
        <v>Fill Non-Bus Miles with Y or N (See column E)</v>
      </c>
      <c r="AL40" s="98" t="s">
        <v>422</v>
      </c>
      <c r="AM40" s="20" t="str">
        <f t="shared" si="18"/>
        <v/>
      </c>
    </row>
    <row r="41" spans="1:39" x14ac:dyDescent="0.75">
      <c r="A41" s="1" t="s">
        <v>126</v>
      </c>
      <c r="B41" s="131"/>
      <c r="C41" s="36"/>
      <c r="D41" s="42"/>
      <c r="E41" s="47"/>
      <c r="F41" s="44"/>
      <c r="G41" s="35"/>
      <c r="H41" s="18"/>
      <c r="I41" s="125"/>
      <c r="J41" s="35"/>
      <c r="K41" s="18" t="str">
        <f t="shared" si="22"/>
        <v/>
      </c>
      <c r="L41" s="38"/>
      <c r="M41" s="38"/>
      <c r="N41" s="38"/>
      <c r="O41" s="38"/>
      <c r="P41" s="18" t="str">
        <f t="shared" si="19"/>
        <v/>
      </c>
      <c r="Q41" s="38"/>
      <c r="R41" s="38"/>
      <c r="S41" s="38"/>
      <c r="T41" s="38"/>
      <c r="U41" s="18">
        <f t="shared" si="4"/>
        <v>0</v>
      </c>
      <c r="V41" s="18" t="str">
        <f t="shared" si="20"/>
        <v/>
      </c>
      <c r="W41" s="18" t="str">
        <f>IF(E41="Y",PAR!$C$12,IF(J41="","",IF(J41&lt;11,PAR!$C$6,IF(J41&lt;50,PAR!$C$7,IF(J41&lt;60,PAR!$C$8,IF(J41&lt;70,PAR!$C$9,IF(J41&lt;80,PAR!$C$10,IF(J41&gt;79,PAR!$C$11,0))))))))</f>
        <v/>
      </c>
      <c r="X41" s="18" t="str">
        <f t="shared" si="6"/>
        <v/>
      </c>
      <c r="Y41" s="21" t="str">
        <f t="shared" si="7"/>
        <v/>
      </c>
      <c r="Z41" s="100" t="str">
        <f>IF(IFERROR(IF(E41="Y",(W41*(X41-PAR!$C$15)*Y41)*C41,IF(AA41&lt;&gt;"","See Comment",IFERROR(W41*X41*Y41*C41,"Fill all blue cells"))),"Fill all blue cells")&lt;0,0,(IFERROR(IF(E41="Y",(W41*(X41-PAR!$C$15)*Y41)*C41,IF(AA41&lt;&gt;"","See Comment",IFERROR(W41*X41*Y41*C41,"Fill all blue cells"))),"Fill all blue cells")))</f>
        <v>See Comment</v>
      </c>
      <c r="AA4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1" s="116" t="str">
        <f t="shared" si="14"/>
        <v/>
      </c>
      <c r="AC41" s="20" t="str">
        <f>IF(AND(E41="Y",D41&lt;PAR!C42),"Non bus miles are less than the minumum of 10 (see column D)",IF(AND(E41="Y",F41&lt;&gt;""),"Non Bus Miles",""))</f>
        <v/>
      </c>
      <c r="AD41" s="20" t="str">
        <f t="shared" si="15"/>
        <v/>
      </c>
      <c r="AE41" s="20" t="str">
        <f t="shared" si="8"/>
        <v>Fill Rated Capacity (see column J),</v>
      </c>
      <c r="AF41" s="20" t="str">
        <f t="shared" si="9"/>
        <v/>
      </c>
      <c r="AG41" s="20" t="str">
        <f t="shared" si="10"/>
        <v>Fill reimbursement % for this LE (see column C)</v>
      </c>
      <c r="AH41" s="20" t="str">
        <f t="shared" si="11"/>
        <v>This route has no eligible riders (see columns L:O)</v>
      </c>
      <c r="AI41" s="20" t="str">
        <f t="shared" si="12"/>
        <v>Fill miles per day (see column D)</v>
      </c>
      <c r="AJ41" s="20" t="str">
        <f t="shared" si="16"/>
        <v>Fill number of operating days (see column F)</v>
      </c>
      <c r="AK41" s="20" t="str">
        <f t="shared" si="17"/>
        <v>Fill Non-Bus Miles with Y or N (See column E)</v>
      </c>
      <c r="AL41" s="98" t="s">
        <v>422</v>
      </c>
      <c r="AM41" s="20" t="str">
        <f t="shared" si="18"/>
        <v/>
      </c>
    </row>
    <row r="42" spans="1:39" x14ac:dyDescent="0.75">
      <c r="A42" s="1" t="s">
        <v>127</v>
      </c>
      <c r="B42" s="130"/>
      <c r="C42" s="33"/>
      <c r="D42" s="41"/>
      <c r="E42" s="48"/>
      <c r="F42" s="45"/>
      <c r="G42" s="32"/>
      <c r="H42" s="16"/>
      <c r="I42" s="126"/>
      <c r="J42" s="32"/>
      <c r="K42" s="16" t="str">
        <f t="shared" si="22"/>
        <v/>
      </c>
      <c r="L42" s="37"/>
      <c r="M42" s="37"/>
      <c r="N42" s="37"/>
      <c r="O42" s="37"/>
      <c r="P42" s="16" t="str">
        <f t="shared" si="19"/>
        <v/>
      </c>
      <c r="Q42" s="37"/>
      <c r="R42" s="37"/>
      <c r="S42" s="37"/>
      <c r="T42" s="37"/>
      <c r="U42" s="16">
        <f t="shared" si="4"/>
        <v>0</v>
      </c>
      <c r="V42" s="16" t="str">
        <f t="shared" si="20"/>
        <v/>
      </c>
      <c r="W42" s="16" t="str">
        <f>IF(E42="Y",PAR!$C$12,IF(J42="","",IF(J42&lt;11,PAR!$C$6,IF(J42&lt;50,PAR!$C$7,IF(J42&lt;60,PAR!$C$8,IF(J42&lt;70,PAR!$C$9,IF(J42&lt;80,PAR!$C$10,IF(J42&gt;79,PAR!$C$11,0))))))))</f>
        <v/>
      </c>
      <c r="X42" s="16" t="str">
        <f t="shared" si="6"/>
        <v/>
      </c>
      <c r="Y42" s="22" t="str">
        <f t="shared" si="7"/>
        <v/>
      </c>
      <c r="Z42" s="100" t="str">
        <f>IF(IFERROR(IF(E42="Y",(W42*(X42-PAR!$C$15)*Y42)*C42,IF(AA42&lt;&gt;"","See Comment",IFERROR(W42*X42*Y42*C42,"Fill all blue cells"))),"Fill all blue cells")&lt;0,0,(IFERROR(IF(E42="Y",(W42*(X42-PAR!$C$15)*Y42)*C42,IF(AA42&lt;&gt;"","See Comment",IFERROR(W42*X42*Y42*C42,"Fill all blue cells"))),"Fill all blue cells")))</f>
        <v>See Comment</v>
      </c>
      <c r="AA4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2" s="116" t="str">
        <f t="shared" si="14"/>
        <v/>
      </c>
      <c r="AC42" s="20" t="str">
        <f>IF(AND(E42="Y",D42&lt;PAR!C43),"Non bus miles are less than the minumum of 10 (see column D)",IF(AND(E42="Y",F42&lt;&gt;""),"Non Bus Miles",""))</f>
        <v/>
      </c>
      <c r="AD42" s="20" t="str">
        <f t="shared" si="15"/>
        <v/>
      </c>
      <c r="AE42" s="20" t="str">
        <f t="shared" si="8"/>
        <v>Fill Rated Capacity (see column J),</v>
      </c>
      <c r="AF42" s="20" t="str">
        <f t="shared" si="9"/>
        <v/>
      </c>
      <c r="AG42" s="20" t="str">
        <f t="shared" si="10"/>
        <v>Fill reimbursement % for this LE (see column C)</v>
      </c>
      <c r="AH42" s="20" t="str">
        <f t="shared" si="11"/>
        <v>This route has no eligible riders (see columns L:O)</v>
      </c>
      <c r="AI42" s="20" t="str">
        <f t="shared" si="12"/>
        <v>Fill miles per day (see column D)</v>
      </c>
      <c r="AJ42" s="20" t="str">
        <f t="shared" si="16"/>
        <v>Fill number of operating days (see column F)</v>
      </c>
      <c r="AK42" s="20" t="str">
        <f t="shared" si="17"/>
        <v>Fill Non-Bus Miles with Y or N (See column E)</v>
      </c>
      <c r="AL42" s="98" t="s">
        <v>422</v>
      </c>
      <c r="AM42" s="20" t="str">
        <f t="shared" si="18"/>
        <v/>
      </c>
    </row>
    <row r="43" spans="1:39" x14ac:dyDescent="0.75">
      <c r="A43" s="1" t="s">
        <v>128</v>
      </c>
      <c r="B43" s="131"/>
      <c r="C43" s="36"/>
      <c r="D43" s="42"/>
      <c r="E43" s="47"/>
      <c r="F43" s="44"/>
      <c r="G43" s="35"/>
      <c r="H43" s="18"/>
      <c r="I43" s="125"/>
      <c r="J43" s="35"/>
      <c r="K43" s="18" t="str">
        <f t="shared" si="22"/>
        <v/>
      </c>
      <c r="L43" s="38"/>
      <c r="M43" s="38"/>
      <c r="N43" s="38"/>
      <c r="O43" s="38"/>
      <c r="P43" s="18" t="str">
        <f t="shared" si="19"/>
        <v/>
      </c>
      <c r="Q43" s="38"/>
      <c r="R43" s="38"/>
      <c r="S43" s="38"/>
      <c r="T43" s="38"/>
      <c r="U43" s="18">
        <f t="shared" si="4"/>
        <v>0</v>
      </c>
      <c r="V43" s="18" t="str">
        <f t="shared" si="20"/>
        <v/>
      </c>
      <c r="W43" s="18" t="str">
        <f>IF(E43="Y",PAR!$C$12,IF(J43="","",IF(J43&lt;11,PAR!$C$6,IF(J43&lt;50,PAR!$C$7,IF(J43&lt;60,PAR!$C$8,IF(J43&lt;70,PAR!$C$9,IF(J43&lt;80,PAR!$C$10,IF(J43&gt;79,PAR!$C$11,0))))))))</f>
        <v/>
      </c>
      <c r="X43" s="18" t="str">
        <f t="shared" si="6"/>
        <v/>
      </c>
      <c r="Y43" s="21" t="str">
        <f t="shared" si="7"/>
        <v/>
      </c>
      <c r="Z43" s="100" t="str">
        <f>IF(IFERROR(IF(E43="Y",(W43*(X43-PAR!$C$15)*Y43)*C43,IF(AA43&lt;&gt;"","See Comment",IFERROR(W43*X43*Y43*C43,"Fill all blue cells"))),"Fill all blue cells")&lt;0,0,(IFERROR(IF(E43="Y",(W43*(X43-PAR!$C$15)*Y43)*C43,IF(AA43&lt;&gt;"","See Comment",IFERROR(W43*X43*Y43*C43,"Fill all blue cells"))),"Fill all blue cells")))</f>
        <v>See Comment</v>
      </c>
      <c r="AA4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3" s="116" t="str">
        <f t="shared" si="14"/>
        <v/>
      </c>
      <c r="AC43" s="20" t="str">
        <f>IF(AND(E43="Y",D43&lt;PAR!C44),"Non bus miles are less than the minumum of 10 (see column D)",IF(AND(E43="Y",F43&lt;&gt;""),"Non Bus Miles",""))</f>
        <v/>
      </c>
      <c r="AD43" s="20" t="str">
        <f t="shared" si="15"/>
        <v/>
      </c>
      <c r="AE43" s="20" t="str">
        <f t="shared" si="8"/>
        <v>Fill Rated Capacity (see column J),</v>
      </c>
      <c r="AF43" s="20" t="str">
        <f t="shared" si="9"/>
        <v/>
      </c>
      <c r="AG43" s="20" t="str">
        <f t="shared" si="10"/>
        <v>Fill reimbursement % for this LE (see column C)</v>
      </c>
      <c r="AH43" s="20" t="str">
        <f t="shared" si="11"/>
        <v>This route has no eligible riders (see columns L:O)</v>
      </c>
      <c r="AI43" s="20" t="str">
        <f t="shared" si="12"/>
        <v>Fill miles per day (see column D)</v>
      </c>
      <c r="AJ43" s="20" t="str">
        <f t="shared" si="16"/>
        <v>Fill number of operating days (see column F)</v>
      </c>
      <c r="AK43" s="20" t="str">
        <f t="shared" si="17"/>
        <v>Fill Non-Bus Miles with Y or N (See column E)</v>
      </c>
      <c r="AL43" s="98" t="s">
        <v>422</v>
      </c>
      <c r="AM43" s="20" t="str">
        <f t="shared" si="18"/>
        <v/>
      </c>
    </row>
    <row r="44" spans="1:39" x14ac:dyDescent="0.75">
      <c r="A44" s="1" t="s">
        <v>129</v>
      </c>
      <c r="B44" s="130"/>
      <c r="C44" s="33"/>
      <c r="D44" s="41"/>
      <c r="E44" s="48"/>
      <c r="F44" s="45"/>
      <c r="G44" s="32"/>
      <c r="H44" s="16"/>
      <c r="I44" s="126"/>
      <c r="J44" s="32"/>
      <c r="K44" s="16" t="str">
        <f t="shared" si="22"/>
        <v/>
      </c>
      <c r="L44" s="37"/>
      <c r="M44" s="37"/>
      <c r="N44" s="37"/>
      <c r="O44" s="37"/>
      <c r="P44" s="16" t="str">
        <f t="shared" si="19"/>
        <v/>
      </c>
      <c r="Q44" s="37"/>
      <c r="R44" s="37"/>
      <c r="S44" s="37"/>
      <c r="T44" s="37"/>
      <c r="U44" s="16">
        <f t="shared" si="4"/>
        <v>0</v>
      </c>
      <c r="V44" s="16" t="str">
        <f t="shared" si="20"/>
        <v/>
      </c>
      <c r="W44" s="16" t="str">
        <f>IF(E44="Y",PAR!$C$12,IF(J44="","",IF(J44&lt;11,PAR!$C$6,IF(J44&lt;50,PAR!$C$7,IF(J44&lt;60,PAR!$C$8,IF(J44&lt;70,PAR!$C$9,IF(J44&lt;80,PAR!$C$10,IF(J44&gt;79,PAR!$C$11,0))))))))</f>
        <v/>
      </c>
      <c r="X44" s="16" t="str">
        <f t="shared" si="6"/>
        <v/>
      </c>
      <c r="Y44" s="22" t="str">
        <f t="shared" si="7"/>
        <v/>
      </c>
      <c r="Z44" s="100" t="str">
        <f>IF(IFERROR(IF(E44="Y",(W44*(X44-PAR!$C$15)*Y44)*C44,IF(AA44&lt;&gt;"","See Comment",IFERROR(W44*X44*Y44*C44,"Fill all blue cells"))),"Fill all blue cells")&lt;0,0,(IFERROR(IF(E44="Y",(W44*(X44-PAR!$C$15)*Y44)*C44,IF(AA44&lt;&gt;"","See Comment",IFERROR(W44*X44*Y44*C44,"Fill all blue cells"))),"Fill all blue cells")))</f>
        <v>See Comment</v>
      </c>
      <c r="AA4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4" s="116" t="str">
        <f t="shared" si="14"/>
        <v/>
      </c>
      <c r="AC44" s="20" t="str">
        <f>IF(AND(E44="Y",D44&lt;PAR!C45),"Non bus miles are less than the minumum of 10 (see column D)",IF(AND(E44="Y",F44&lt;&gt;""),"Non Bus Miles",""))</f>
        <v/>
      </c>
      <c r="AD44" s="20" t="str">
        <f t="shared" si="15"/>
        <v/>
      </c>
      <c r="AE44" s="20" t="str">
        <f t="shared" si="8"/>
        <v>Fill Rated Capacity (see column J),</v>
      </c>
      <c r="AF44" s="20" t="str">
        <f t="shared" si="9"/>
        <v/>
      </c>
      <c r="AG44" s="20" t="str">
        <f t="shared" si="10"/>
        <v>Fill reimbursement % for this LE (see column C)</v>
      </c>
      <c r="AH44" s="20" t="str">
        <f t="shared" si="11"/>
        <v>This route has no eligible riders (see columns L:O)</v>
      </c>
      <c r="AI44" s="20" t="str">
        <f t="shared" si="12"/>
        <v>Fill miles per day (see column D)</v>
      </c>
      <c r="AJ44" s="20" t="str">
        <f t="shared" si="16"/>
        <v>Fill number of operating days (see column F)</v>
      </c>
      <c r="AK44" s="20" t="str">
        <f t="shared" si="17"/>
        <v>Fill Non-Bus Miles with Y or N (See column E)</v>
      </c>
      <c r="AL44" s="98" t="s">
        <v>422</v>
      </c>
      <c r="AM44" s="20" t="str">
        <f t="shared" si="18"/>
        <v/>
      </c>
    </row>
    <row r="45" spans="1:39" x14ac:dyDescent="0.75">
      <c r="A45" s="1" t="s">
        <v>130</v>
      </c>
      <c r="B45" s="131"/>
      <c r="C45" s="36"/>
      <c r="D45" s="42"/>
      <c r="E45" s="47"/>
      <c r="F45" s="44"/>
      <c r="G45" s="35"/>
      <c r="H45" s="18"/>
      <c r="I45" s="125"/>
      <c r="J45" s="35"/>
      <c r="K45" s="18" t="str">
        <f t="shared" si="22"/>
        <v/>
      </c>
      <c r="L45" s="38"/>
      <c r="M45" s="38"/>
      <c r="N45" s="38"/>
      <c r="O45" s="38"/>
      <c r="P45" s="18" t="str">
        <f t="shared" si="19"/>
        <v/>
      </c>
      <c r="Q45" s="38"/>
      <c r="R45" s="38"/>
      <c r="S45" s="38"/>
      <c r="T45" s="38"/>
      <c r="U45" s="18">
        <f t="shared" si="4"/>
        <v>0</v>
      </c>
      <c r="V45" s="18" t="str">
        <f t="shared" si="20"/>
        <v/>
      </c>
      <c r="W45" s="18" t="str">
        <f>IF(E45="Y",PAR!$C$12,IF(J45="","",IF(J45&lt;11,PAR!$C$6,IF(J45&lt;50,PAR!$C$7,IF(J45&lt;60,PAR!$C$8,IF(J45&lt;70,PAR!$C$9,IF(J45&lt;80,PAR!$C$10,IF(J45&gt;79,PAR!$C$11,0))))))))</f>
        <v/>
      </c>
      <c r="X45" s="18" t="str">
        <f t="shared" si="6"/>
        <v/>
      </c>
      <c r="Y45" s="21" t="str">
        <f t="shared" si="7"/>
        <v/>
      </c>
      <c r="Z45" s="100" t="str">
        <f>IF(IFERROR(IF(E45="Y",(W45*(X45-PAR!$C$15)*Y45)*C45,IF(AA45&lt;&gt;"","See Comment",IFERROR(W45*X45*Y45*C45,"Fill all blue cells"))),"Fill all blue cells")&lt;0,0,(IFERROR(IF(E45="Y",(W45*(X45-PAR!$C$15)*Y45)*C45,IF(AA45&lt;&gt;"","See Comment",IFERROR(W45*X45*Y45*C45,"Fill all blue cells"))),"Fill all blue cells")))</f>
        <v>See Comment</v>
      </c>
      <c r="AA4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5" s="116" t="str">
        <f t="shared" si="14"/>
        <v/>
      </c>
      <c r="AC45" s="20" t="str">
        <f>IF(AND(E45="Y",D45&lt;PAR!C46),"Non bus miles are less than the minumum of 10 (see column D)",IF(AND(E45="Y",F45&lt;&gt;""),"Non Bus Miles",""))</f>
        <v/>
      </c>
      <c r="AD45" s="20" t="str">
        <f t="shared" si="15"/>
        <v/>
      </c>
      <c r="AE45" s="20" t="str">
        <f t="shared" si="8"/>
        <v>Fill Rated Capacity (see column J),</v>
      </c>
      <c r="AF45" s="20" t="str">
        <f t="shared" si="9"/>
        <v/>
      </c>
      <c r="AG45" s="20" t="str">
        <f t="shared" si="10"/>
        <v>Fill reimbursement % for this LE (see column C)</v>
      </c>
      <c r="AH45" s="20" t="str">
        <f t="shared" si="11"/>
        <v>This route has no eligible riders (see columns L:O)</v>
      </c>
      <c r="AI45" s="20" t="str">
        <f t="shared" si="12"/>
        <v>Fill miles per day (see column D)</v>
      </c>
      <c r="AJ45" s="20" t="str">
        <f t="shared" si="16"/>
        <v>Fill number of operating days (see column F)</v>
      </c>
      <c r="AK45" s="20" t="str">
        <f t="shared" si="17"/>
        <v>Fill Non-Bus Miles with Y or N (See column E)</v>
      </c>
      <c r="AL45" s="98" t="s">
        <v>422</v>
      </c>
      <c r="AM45" s="20" t="str">
        <f t="shared" si="18"/>
        <v/>
      </c>
    </row>
    <row r="46" spans="1:39" x14ac:dyDescent="0.75">
      <c r="A46" s="1" t="s">
        <v>131</v>
      </c>
      <c r="B46" s="130"/>
      <c r="C46" s="33"/>
      <c r="D46" s="41"/>
      <c r="E46" s="48"/>
      <c r="F46" s="45"/>
      <c r="G46" s="32"/>
      <c r="H46" s="16"/>
      <c r="I46" s="126"/>
      <c r="J46" s="32"/>
      <c r="K46" s="16" t="str">
        <f t="shared" si="22"/>
        <v/>
      </c>
      <c r="L46" s="37"/>
      <c r="M46" s="37"/>
      <c r="N46" s="37"/>
      <c r="O46" s="37"/>
      <c r="P46" s="16" t="str">
        <f t="shared" si="19"/>
        <v/>
      </c>
      <c r="Q46" s="37"/>
      <c r="R46" s="37"/>
      <c r="S46" s="37"/>
      <c r="T46" s="37"/>
      <c r="U46" s="16">
        <f t="shared" si="4"/>
        <v>0</v>
      </c>
      <c r="V46" s="16" t="str">
        <f t="shared" si="20"/>
        <v/>
      </c>
      <c r="W46" s="16" t="str">
        <f>IF(E46="Y",PAR!$C$12,IF(J46="","",IF(J46&lt;11,PAR!$C$6,IF(J46&lt;50,PAR!$C$7,IF(J46&lt;60,PAR!$C$8,IF(J46&lt;70,PAR!$C$9,IF(J46&lt;80,PAR!$C$10,IF(J46&gt;79,PAR!$C$11,0))))))))</f>
        <v/>
      </c>
      <c r="X46" s="16" t="str">
        <f t="shared" si="6"/>
        <v/>
      </c>
      <c r="Y46" s="22" t="str">
        <f t="shared" si="7"/>
        <v/>
      </c>
      <c r="Z46" s="100" t="str">
        <f>IF(IFERROR(IF(E46="Y",(W46*(X46-PAR!$C$15)*Y46)*C46,IF(AA46&lt;&gt;"","See Comment",IFERROR(W46*X46*Y46*C46,"Fill all blue cells"))),"Fill all blue cells")&lt;0,0,(IFERROR(IF(E46="Y",(W46*(X46-PAR!$C$15)*Y46)*C46,IF(AA46&lt;&gt;"","See Comment",IFERROR(W46*X46*Y46*C46,"Fill all blue cells"))),"Fill all blue cells")))</f>
        <v>See Comment</v>
      </c>
      <c r="AA4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6" s="116" t="str">
        <f t="shared" si="14"/>
        <v/>
      </c>
      <c r="AC46" s="20" t="str">
        <f>IF(AND(E46="Y",D46&lt;PAR!C47),"Non bus miles are less than the minumum of 10 (see column D)",IF(AND(E46="Y",F46&lt;&gt;""),"Non Bus Miles",""))</f>
        <v/>
      </c>
      <c r="AD46" s="20" t="str">
        <f t="shared" si="15"/>
        <v/>
      </c>
      <c r="AE46" s="20" t="str">
        <f t="shared" si="8"/>
        <v>Fill Rated Capacity (see column J),</v>
      </c>
      <c r="AF46" s="20" t="str">
        <f t="shared" si="9"/>
        <v/>
      </c>
      <c r="AG46" s="20" t="str">
        <f t="shared" si="10"/>
        <v>Fill reimbursement % for this LE (see column C)</v>
      </c>
      <c r="AH46" s="20" t="str">
        <f t="shared" si="11"/>
        <v>This route has no eligible riders (see columns L:O)</v>
      </c>
      <c r="AI46" s="20" t="str">
        <f t="shared" si="12"/>
        <v>Fill miles per day (see column D)</v>
      </c>
      <c r="AJ46" s="20" t="str">
        <f t="shared" si="16"/>
        <v>Fill number of operating days (see column F)</v>
      </c>
      <c r="AK46" s="20" t="str">
        <f t="shared" si="17"/>
        <v>Fill Non-Bus Miles with Y or N (See column E)</v>
      </c>
      <c r="AL46" s="98" t="s">
        <v>422</v>
      </c>
      <c r="AM46" s="20" t="str">
        <f t="shared" si="18"/>
        <v/>
      </c>
    </row>
    <row r="47" spans="1:39" x14ac:dyDescent="0.75">
      <c r="A47" s="1" t="s">
        <v>132</v>
      </c>
      <c r="B47" s="131"/>
      <c r="C47" s="36"/>
      <c r="D47" s="42"/>
      <c r="E47" s="47"/>
      <c r="F47" s="44"/>
      <c r="G47" s="35"/>
      <c r="H47" s="18"/>
      <c r="I47" s="125"/>
      <c r="J47" s="35"/>
      <c r="K47" s="18" t="str">
        <f t="shared" si="22"/>
        <v/>
      </c>
      <c r="L47" s="38"/>
      <c r="M47" s="38"/>
      <c r="N47" s="38"/>
      <c r="O47" s="38"/>
      <c r="P47" s="18" t="str">
        <f t="shared" si="19"/>
        <v/>
      </c>
      <c r="Q47" s="38"/>
      <c r="R47" s="38"/>
      <c r="S47" s="38"/>
      <c r="T47" s="38"/>
      <c r="U47" s="18">
        <f t="shared" si="4"/>
        <v>0</v>
      </c>
      <c r="V47" s="18" t="str">
        <f t="shared" si="20"/>
        <v/>
      </c>
      <c r="W47" s="18" t="str">
        <f>IF(E47="Y",PAR!$C$12,IF(J47="","",IF(J47&lt;11,PAR!$C$6,IF(J47&lt;50,PAR!$C$7,IF(J47&lt;60,PAR!$C$8,IF(J47&lt;70,PAR!$C$9,IF(J47&lt;80,PAR!$C$10,IF(J47&gt;79,PAR!$C$11,0))))))))</f>
        <v/>
      </c>
      <c r="X47" s="18" t="str">
        <f t="shared" si="6"/>
        <v/>
      </c>
      <c r="Y47" s="21" t="str">
        <f t="shared" si="7"/>
        <v/>
      </c>
      <c r="Z47" s="100" t="str">
        <f>IF(IFERROR(IF(E47="Y",(W47*(X47-PAR!$C$15)*Y47)*C47,IF(AA47&lt;&gt;"","See Comment",IFERROR(W47*X47*Y47*C47,"Fill all blue cells"))),"Fill all blue cells")&lt;0,0,(IFERROR(IF(E47="Y",(W47*(X47-PAR!$C$15)*Y47)*C47,IF(AA47&lt;&gt;"","See Comment",IFERROR(W47*X47*Y47*C47,"Fill all blue cells"))),"Fill all blue cells")))</f>
        <v>See Comment</v>
      </c>
      <c r="AA4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7" s="116" t="str">
        <f t="shared" si="14"/>
        <v/>
      </c>
      <c r="AC47" s="20" t="str">
        <f>IF(AND(E47="Y",D47&lt;PAR!C48),"Non bus miles are less than the minumum of 10 (see column D)",IF(AND(E47="Y",F47&lt;&gt;""),"Non Bus Miles",""))</f>
        <v/>
      </c>
      <c r="AD47" s="20" t="str">
        <f t="shared" si="15"/>
        <v/>
      </c>
      <c r="AE47" s="20" t="str">
        <f t="shared" si="8"/>
        <v>Fill Rated Capacity (see column J),</v>
      </c>
      <c r="AF47" s="20" t="str">
        <f t="shared" si="9"/>
        <v/>
      </c>
      <c r="AG47" s="20" t="str">
        <f t="shared" si="10"/>
        <v>Fill reimbursement % for this LE (see column C)</v>
      </c>
      <c r="AH47" s="20" t="str">
        <f t="shared" si="11"/>
        <v>This route has no eligible riders (see columns L:O)</v>
      </c>
      <c r="AI47" s="20" t="str">
        <f t="shared" si="12"/>
        <v>Fill miles per day (see column D)</v>
      </c>
      <c r="AJ47" s="20" t="str">
        <f t="shared" si="16"/>
        <v>Fill number of operating days (see column F)</v>
      </c>
      <c r="AK47" s="20" t="str">
        <f t="shared" si="17"/>
        <v>Fill Non-Bus Miles with Y or N (See column E)</v>
      </c>
      <c r="AL47" s="98" t="s">
        <v>422</v>
      </c>
      <c r="AM47" s="20" t="str">
        <f t="shared" si="18"/>
        <v/>
      </c>
    </row>
    <row r="48" spans="1:39" x14ac:dyDescent="0.75">
      <c r="A48" s="1" t="s">
        <v>133</v>
      </c>
      <c r="B48" s="130"/>
      <c r="C48" s="33"/>
      <c r="D48" s="41"/>
      <c r="E48" s="48"/>
      <c r="F48" s="45"/>
      <c r="G48" s="32"/>
      <c r="H48" s="16"/>
      <c r="I48" s="126"/>
      <c r="J48" s="32"/>
      <c r="K48" s="16" t="str">
        <f t="shared" si="22"/>
        <v/>
      </c>
      <c r="L48" s="37"/>
      <c r="M48" s="37"/>
      <c r="N48" s="37"/>
      <c r="O48" s="37"/>
      <c r="P48" s="16" t="str">
        <f t="shared" si="19"/>
        <v/>
      </c>
      <c r="Q48" s="37"/>
      <c r="R48" s="37"/>
      <c r="S48" s="37"/>
      <c r="T48" s="37"/>
      <c r="U48" s="16">
        <f t="shared" si="4"/>
        <v>0</v>
      </c>
      <c r="V48" s="16" t="str">
        <f t="shared" si="20"/>
        <v/>
      </c>
      <c r="W48" s="16" t="str">
        <f>IF(E48="Y",PAR!$C$12,IF(J48="","",IF(J48&lt;11,PAR!$C$6,IF(J48&lt;50,PAR!$C$7,IF(J48&lt;60,PAR!$C$8,IF(J48&lt;70,PAR!$C$9,IF(J48&lt;80,PAR!$C$10,IF(J48&gt;79,PAR!$C$11,0))))))))</f>
        <v/>
      </c>
      <c r="X48" s="16" t="str">
        <f t="shared" si="6"/>
        <v/>
      </c>
      <c r="Y48" s="22" t="str">
        <f t="shared" si="7"/>
        <v/>
      </c>
      <c r="Z48" s="100" t="str">
        <f>IF(IFERROR(IF(E48="Y",(W48*(X48-PAR!$C$15)*Y48)*C48,IF(AA48&lt;&gt;"","See Comment",IFERROR(W48*X48*Y48*C48,"Fill all blue cells"))),"Fill all blue cells")&lt;0,0,(IFERROR(IF(E48="Y",(W48*(X48-PAR!$C$15)*Y48)*C48,IF(AA48&lt;&gt;"","See Comment",IFERROR(W48*X48*Y48*C48,"Fill all blue cells"))),"Fill all blue cells")))</f>
        <v>See Comment</v>
      </c>
      <c r="AA4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8" s="116" t="str">
        <f t="shared" si="14"/>
        <v/>
      </c>
      <c r="AC48" s="20" t="str">
        <f>IF(AND(E48="Y",D48&lt;PAR!C49),"Non bus miles are less than the minumum of 10 (see column D)",IF(AND(E48="Y",F48&lt;&gt;""),"Non Bus Miles",""))</f>
        <v/>
      </c>
      <c r="AD48" s="20" t="str">
        <f t="shared" si="15"/>
        <v/>
      </c>
      <c r="AE48" s="20" t="str">
        <f t="shared" si="8"/>
        <v>Fill Rated Capacity (see column J),</v>
      </c>
      <c r="AF48" s="20" t="str">
        <f t="shared" si="9"/>
        <v/>
      </c>
      <c r="AG48" s="20" t="str">
        <f t="shared" si="10"/>
        <v>Fill reimbursement % for this LE (see column C)</v>
      </c>
      <c r="AH48" s="20" t="str">
        <f t="shared" si="11"/>
        <v>This route has no eligible riders (see columns L:O)</v>
      </c>
      <c r="AI48" s="20" t="str">
        <f t="shared" si="12"/>
        <v>Fill miles per day (see column D)</v>
      </c>
      <c r="AJ48" s="20" t="str">
        <f t="shared" si="16"/>
        <v>Fill number of operating days (see column F)</v>
      </c>
      <c r="AK48" s="20" t="str">
        <f t="shared" si="17"/>
        <v>Fill Non-Bus Miles with Y or N (See column E)</v>
      </c>
      <c r="AL48" s="98" t="s">
        <v>422</v>
      </c>
      <c r="AM48" s="20" t="str">
        <f t="shared" si="18"/>
        <v/>
      </c>
    </row>
    <row r="49" spans="1:39" x14ac:dyDescent="0.75">
      <c r="A49" s="1" t="s">
        <v>134</v>
      </c>
      <c r="B49" s="131"/>
      <c r="C49" s="36"/>
      <c r="D49" s="42"/>
      <c r="E49" s="47"/>
      <c r="F49" s="44"/>
      <c r="G49" s="35"/>
      <c r="H49" s="18"/>
      <c r="I49" s="125"/>
      <c r="J49" s="35"/>
      <c r="K49" s="18" t="str">
        <f t="shared" si="22"/>
        <v/>
      </c>
      <c r="L49" s="38"/>
      <c r="M49" s="38"/>
      <c r="N49" s="38"/>
      <c r="O49" s="38"/>
      <c r="P49" s="18" t="str">
        <f t="shared" si="19"/>
        <v/>
      </c>
      <c r="Q49" s="38"/>
      <c r="R49" s="38"/>
      <c r="S49" s="38"/>
      <c r="T49" s="38"/>
      <c r="U49" s="18">
        <f t="shared" si="4"/>
        <v>0</v>
      </c>
      <c r="V49" s="18" t="str">
        <f t="shared" si="20"/>
        <v/>
      </c>
      <c r="W49" s="18" t="str">
        <f>IF(E49="Y",PAR!$C$12,IF(J49="","",IF(J49&lt;11,PAR!$C$6,IF(J49&lt;50,PAR!$C$7,IF(J49&lt;60,PAR!$C$8,IF(J49&lt;70,PAR!$C$9,IF(J49&lt;80,PAR!$C$10,IF(J49&gt;79,PAR!$C$11,0))))))))</f>
        <v/>
      </c>
      <c r="X49" s="18" t="str">
        <f t="shared" si="6"/>
        <v/>
      </c>
      <c r="Y49" s="21" t="str">
        <f t="shared" si="7"/>
        <v/>
      </c>
      <c r="Z49" s="100" t="str">
        <f>IF(IFERROR(IF(E49="Y",(W49*(X49-PAR!$C$15)*Y49)*C49,IF(AA49&lt;&gt;"","See Comment",IFERROR(W49*X49*Y49*C49,"Fill all blue cells"))),"Fill all blue cells")&lt;0,0,(IFERROR(IF(E49="Y",(W49*(X49-PAR!$C$15)*Y49)*C49,IF(AA49&lt;&gt;"","See Comment",IFERROR(W49*X49*Y49*C49,"Fill all blue cells"))),"Fill all blue cells")))</f>
        <v>See Comment</v>
      </c>
      <c r="AA4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9" s="116" t="str">
        <f t="shared" si="14"/>
        <v/>
      </c>
      <c r="AC49" s="20" t="str">
        <f>IF(AND(E49="Y",D49&lt;PAR!C50),"Non bus miles are less than the minumum of 10 (see column D)",IF(AND(E49="Y",F49&lt;&gt;""),"Non Bus Miles",""))</f>
        <v/>
      </c>
      <c r="AD49" s="20" t="str">
        <f t="shared" si="15"/>
        <v/>
      </c>
      <c r="AE49" s="20" t="str">
        <f t="shared" si="8"/>
        <v>Fill Rated Capacity (see column J),</v>
      </c>
      <c r="AF49" s="20" t="str">
        <f t="shared" si="9"/>
        <v/>
      </c>
      <c r="AG49" s="20" t="str">
        <f t="shared" si="10"/>
        <v>Fill reimbursement % for this LE (see column C)</v>
      </c>
      <c r="AH49" s="20" t="str">
        <f t="shared" si="11"/>
        <v>This route has no eligible riders (see columns L:O)</v>
      </c>
      <c r="AI49" s="20" t="str">
        <f t="shared" si="12"/>
        <v>Fill miles per day (see column D)</v>
      </c>
      <c r="AJ49" s="20" t="str">
        <f t="shared" si="16"/>
        <v>Fill number of operating days (see column F)</v>
      </c>
      <c r="AK49" s="20" t="str">
        <f t="shared" si="17"/>
        <v>Fill Non-Bus Miles with Y or N (See column E)</v>
      </c>
      <c r="AL49" s="98" t="s">
        <v>422</v>
      </c>
      <c r="AM49" s="20" t="str">
        <f t="shared" si="18"/>
        <v/>
      </c>
    </row>
    <row r="50" spans="1:39" x14ac:dyDescent="0.75">
      <c r="A50" s="1" t="s">
        <v>135</v>
      </c>
      <c r="B50" s="130"/>
      <c r="C50" s="33"/>
      <c r="D50" s="41"/>
      <c r="E50" s="48"/>
      <c r="F50" s="45"/>
      <c r="G50" s="32"/>
      <c r="H50" s="16"/>
      <c r="I50" s="126"/>
      <c r="J50" s="32"/>
      <c r="K50" s="16" t="str">
        <f t="shared" si="22"/>
        <v/>
      </c>
      <c r="L50" s="37"/>
      <c r="M50" s="37"/>
      <c r="N50" s="37"/>
      <c r="O50" s="37"/>
      <c r="P50" s="16" t="str">
        <f t="shared" si="19"/>
        <v/>
      </c>
      <c r="Q50" s="37"/>
      <c r="R50" s="37"/>
      <c r="S50" s="37"/>
      <c r="T50" s="37"/>
      <c r="U50" s="16">
        <f t="shared" si="4"/>
        <v>0</v>
      </c>
      <c r="V50" s="16" t="str">
        <f t="shared" si="20"/>
        <v/>
      </c>
      <c r="W50" s="16" t="str">
        <f>IF(E50="Y",PAR!$C$12,IF(J50="","",IF(J50&lt;11,PAR!$C$6,IF(J50&lt;50,PAR!$C$7,IF(J50&lt;60,PAR!$C$8,IF(J50&lt;70,PAR!$C$9,IF(J50&lt;80,PAR!$C$10,IF(J50&gt;79,PAR!$C$11,0))))))))</f>
        <v/>
      </c>
      <c r="X50" s="16" t="str">
        <f t="shared" si="6"/>
        <v/>
      </c>
      <c r="Y50" s="22" t="str">
        <f t="shared" si="7"/>
        <v/>
      </c>
      <c r="Z50" s="100" t="str">
        <f>IF(IFERROR(IF(E50="Y",(W50*(X50-PAR!$C$15)*Y50)*C50,IF(AA50&lt;&gt;"","See Comment",IFERROR(W50*X50*Y50*C50,"Fill all blue cells"))),"Fill all blue cells")&lt;0,0,(IFERROR(IF(E50="Y",(W50*(X50-PAR!$C$15)*Y50)*C50,IF(AA50&lt;&gt;"","See Comment",IFERROR(W50*X50*Y50*C50,"Fill all blue cells"))),"Fill all blue cells")))</f>
        <v>See Comment</v>
      </c>
      <c r="AA5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0" s="116" t="str">
        <f t="shared" si="14"/>
        <v/>
      </c>
      <c r="AC50" s="20" t="str">
        <f>IF(AND(E50="Y",D50&lt;PAR!C51),"Non bus miles are less than the minumum of 10 (see column D)",IF(AND(E50="Y",F50&lt;&gt;""),"Non Bus Miles",""))</f>
        <v/>
      </c>
      <c r="AD50" s="20" t="str">
        <f t="shared" si="15"/>
        <v/>
      </c>
      <c r="AE50" s="20" t="str">
        <f t="shared" si="8"/>
        <v>Fill Rated Capacity (see column J),</v>
      </c>
      <c r="AF50" s="20" t="str">
        <f t="shared" si="9"/>
        <v/>
      </c>
      <c r="AG50" s="20" t="str">
        <f t="shared" si="10"/>
        <v>Fill reimbursement % for this LE (see column C)</v>
      </c>
      <c r="AH50" s="20" t="str">
        <f t="shared" si="11"/>
        <v>This route has no eligible riders (see columns L:O)</v>
      </c>
      <c r="AI50" s="20" t="str">
        <f t="shared" si="12"/>
        <v>Fill miles per day (see column D)</v>
      </c>
      <c r="AJ50" s="20" t="str">
        <f t="shared" si="16"/>
        <v>Fill number of operating days (see column F)</v>
      </c>
      <c r="AK50" s="20" t="str">
        <f t="shared" si="17"/>
        <v>Fill Non-Bus Miles with Y or N (See column E)</v>
      </c>
      <c r="AL50" s="98" t="s">
        <v>422</v>
      </c>
      <c r="AM50" s="20" t="str">
        <f t="shared" si="18"/>
        <v/>
      </c>
    </row>
    <row r="51" spans="1:39" x14ac:dyDescent="0.75">
      <c r="A51" s="1" t="s">
        <v>136</v>
      </c>
      <c r="B51" s="131"/>
      <c r="C51" s="36"/>
      <c r="D51" s="42"/>
      <c r="E51" s="47"/>
      <c r="F51" s="44"/>
      <c r="G51" s="35"/>
      <c r="H51" s="18"/>
      <c r="I51" s="125"/>
      <c r="J51" s="35"/>
      <c r="K51" s="18" t="str">
        <f t="shared" si="22"/>
        <v/>
      </c>
      <c r="L51" s="38"/>
      <c r="M51" s="38"/>
      <c r="N51" s="38"/>
      <c r="O51" s="38"/>
      <c r="P51" s="18" t="str">
        <f t="shared" si="19"/>
        <v/>
      </c>
      <c r="Q51" s="38"/>
      <c r="R51" s="38"/>
      <c r="S51" s="38"/>
      <c r="T51" s="38"/>
      <c r="U51" s="18">
        <f t="shared" si="4"/>
        <v>0</v>
      </c>
      <c r="V51" s="18" t="str">
        <f t="shared" si="20"/>
        <v/>
      </c>
      <c r="W51" s="18" t="str">
        <f>IF(E51="Y",PAR!$C$12,IF(J51="","",IF(J51&lt;11,PAR!$C$6,IF(J51&lt;50,PAR!$C$7,IF(J51&lt;60,PAR!$C$8,IF(J51&lt;70,PAR!$C$9,IF(J51&lt;80,PAR!$C$10,IF(J51&gt;79,PAR!$C$11,0))))))))</f>
        <v/>
      </c>
      <c r="X51" s="18" t="str">
        <f t="shared" si="6"/>
        <v/>
      </c>
      <c r="Y51" s="21" t="str">
        <f t="shared" si="7"/>
        <v/>
      </c>
      <c r="Z51" s="100" t="str">
        <f>IF(IFERROR(IF(E51="Y",(W51*(X51-PAR!$C$15)*Y51)*C51,IF(AA51&lt;&gt;"","See Comment",IFERROR(W51*X51*Y51*C51,"Fill all blue cells"))),"Fill all blue cells")&lt;0,0,(IFERROR(IF(E51="Y",(W51*(X51-PAR!$C$15)*Y51)*C51,IF(AA51&lt;&gt;"","See Comment",IFERROR(W51*X51*Y51*C51,"Fill all blue cells"))),"Fill all blue cells")))</f>
        <v>See Comment</v>
      </c>
      <c r="AA5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1" s="116" t="str">
        <f t="shared" si="14"/>
        <v/>
      </c>
      <c r="AC51" s="20" t="str">
        <f>IF(AND(E51="Y",D51&lt;PAR!C52),"Non bus miles are less than the minumum of 10 (see column D)",IF(AND(E51="Y",F51&lt;&gt;""),"Non Bus Miles",""))</f>
        <v/>
      </c>
      <c r="AD51" s="20" t="str">
        <f t="shared" si="15"/>
        <v/>
      </c>
      <c r="AE51" s="20" t="str">
        <f t="shared" si="8"/>
        <v>Fill Rated Capacity (see column J),</v>
      </c>
      <c r="AF51" s="20" t="str">
        <f t="shared" si="9"/>
        <v/>
      </c>
      <c r="AG51" s="20" t="str">
        <f t="shared" si="10"/>
        <v>Fill reimbursement % for this LE (see column C)</v>
      </c>
      <c r="AH51" s="20" t="str">
        <f t="shared" si="11"/>
        <v>This route has no eligible riders (see columns L:O)</v>
      </c>
      <c r="AI51" s="20" t="str">
        <f t="shared" si="12"/>
        <v>Fill miles per day (see column D)</v>
      </c>
      <c r="AJ51" s="20" t="str">
        <f t="shared" si="16"/>
        <v>Fill number of operating days (see column F)</v>
      </c>
      <c r="AK51" s="20" t="str">
        <f t="shared" si="17"/>
        <v>Fill Non-Bus Miles with Y or N (See column E)</v>
      </c>
      <c r="AL51" s="98" t="s">
        <v>422</v>
      </c>
      <c r="AM51" s="20" t="str">
        <f t="shared" si="18"/>
        <v/>
      </c>
    </row>
    <row r="52" spans="1:39" x14ac:dyDescent="0.75">
      <c r="A52" s="1" t="s">
        <v>137</v>
      </c>
      <c r="B52" s="130"/>
      <c r="C52" s="33"/>
      <c r="D52" s="41"/>
      <c r="E52" s="48"/>
      <c r="F52" s="45"/>
      <c r="G52" s="32"/>
      <c r="H52" s="16"/>
      <c r="I52" s="126"/>
      <c r="J52" s="32"/>
      <c r="K52" s="16" t="str">
        <f t="shared" si="22"/>
        <v/>
      </c>
      <c r="L52" s="37"/>
      <c r="M52" s="37"/>
      <c r="N52" s="37"/>
      <c r="O52" s="37"/>
      <c r="P52" s="16" t="str">
        <f t="shared" si="19"/>
        <v/>
      </c>
      <c r="Q52" s="37"/>
      <c r="R52" s="37"/>
      <c r="S52" s="37"/>
      <c r="T52" s="37"/>
      <c r="U52" s="16">
        <f t="shared" si="4"/>
        <v>0</v>
      </c>
      <c r="V52" s="16" t="str">
        <f t="shared" si="20"/>
        <v/>
      </c>
      <c r="W52" s="16" t="str">
        <f>IF(E52="Y",PAR!$C$12,IF(J52="","",IF(J52&lt;11,PAR!$C$6,IF(J52&lt;50,PAR!$C$7,IF(J52&lt;60,PAR!$C$8,IF(J52&lt;70,PAR!$C$9,IF(J52&lt;80,PAR!$C$10,IF(J52&gt;79,PAR!$C$11,0))))))))</f>
        <v/>
      </c>
      <c r="X52" s="16" t="str">
        <f t="shared" si="6"/>
        <v/>
      </c>
      <c r="Y52" s="22" t="str">
        <f t="shared" si="7"/>
        <v/>
      </c>
      <c r="Z52" s="100" t="str">
        <f>IF(IFERROR(IF(E52="Y",(W52*(X52-PAR!$C$15)*Y52)*C52,IF(AA52&lt;&gt;"","See Comment",IFERROR(W52*X52*Y52*C52,"Fill all blue cells"))),"Fill all blue cells")&lt;0,0,(IFERROR(IF(E52="Y",(W52*(X52-PAR!$C$15)*Y52)*C52,IF(AA52&lt;&gt;"","See Comment",IFERROR(W52*X52*Y52*C52,"Fill all blue cells"))),"Fill all blue cells")))</f>
        <v>See Comment</v>
      </c>
      <c r="AA5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2" s="116" t="str">
        <f t="shared" si="14"/>
        <v/>
      </c>
      <c r="AC52" s="20" t="str">
        <f>IF(AND(E52="Y",D52&lt;PAR!C53),"Non bus miles are less than the minumum of 10 (see column D)",IF(AND(E52="Y",F52&lt;&gt;""),"Non Bus Miles",""))</f>
        <v/>
      </c>
      <c r="AD52" s="20" t="str">
        <f t="shared" si="15"/>
        <v/>
      </c>
      <c r="AE52" s="20" t="str">
        <f t="shared" si="8"/>
        <v>Fill Rated Capacity (see column J),</v>
      </c>
      <c r="AF52" s="20" t="str">
        <f t="shared" si="9"/>
        <v/>
      </c>
      <c r="AG52" s="20" t="str">
        <f t="shared" si="10"/>
        <v>Fill reimbursement % for this LE (see column C)</v>
      </c>
      <c r="AH52" s="20" t="str">
        <f t="shared" si="11"/>
        <v>This route has no eligible riders (see columns L:O)</v>
      </c>
      <c r="AI52" s="20" t="str">
        <f t="shared" si="12"/>
        <v>Fill miles per day (see column D)</v>
      </c>
      <c r="AJ52" s="20" t="str">
        <f t="shared" si="16"/>
        <v>Fill number of operating days (see column F)</v>
      </c>
      <c r="AK52" s="20" t="str">
        <f t="shared" si="17"/>
        <v>Fill Non-Bus Miles with Y or N (See column E)</v>
      </c>
      <c r="AL52" s="98" t="s">
        <v>422</v>
      </c>
      <c r="AM52" s="20" t="str">
        <f t="shared" si="18"/>
        <v/>
      </c>
    </row>
    <row r="53" spans="1:39" x14ac:dyDescent="0.75">
      <c r="A53" s="1" t="s">
        <v>138</v>
      </c>
      <c r="B53" s="131"/>
      <c r="C53" s="36"/>
      <c r="D53" s="42"/>
      <c r="E53" s="47"/>
      <c r="F53" s="44"/>
      <c r="G53" s="35"/>
      <c r="H53" s="18"/>
      <c r="I53" s="125"/>
      <c r="J53" s="35"/>
      <c r="K53" s="18" t="str">
        <f t="shared" si="22"/>
        <v/>
      </c>
      <c r="L53" s="38"/>
      <c r="M53" s="38"/>
      <c r="N53" s="38"/>
      <c r="O53" s="38"/>
      <c r="P53" s="18" t="str">
        <f t="shared" si="19"/>
        <v/>
      </c>
      <c r="Q53" s="38"/>
      <c r="R53" s="38"/>
      <c r="S53" s="38"/>
      <c r="T53" s="38"/>
      <c r="U53" s="18">
        <f t="shared" si="4"/>
        <v>0</v>
      </c>
      <c r="V53" s="18" t="str">
        <f t="shared" si="20"/>
        <v/>
      </c>
      <c r="W53" s="18" t="str">
        <f>IF(E53="Y",PAR!$C$12,IF(J53="","",IF(J53&lt;11,PAR!$C$6,IF(J53&lt;50,PAR!$C$7,IF(J53&lt;60,PAR!$C$8,IF(J53&lt;70,PAR!$C$9,IF(J53&lt;80,PAR!$C$10,IF(J53&gt;79,PAR!$C$11,0))))))))</f>
        <v/>
      </c>
      <c r="X53" s="18" t="str">
        <f t="shared" si="6"/>
        <v/>
      </c>
      <c r="Y53" s="21" t="str">
        <f t="shared" si="7"/>
        <v/>
      </c>
      <c r="Z53" s="100" t="str">
        <f>IF(IFERROR(IF(E53="Y",(W53*(X53-PAR!$C$15)*Y53)*C53,IF(AA53&lt;&gt;"","See Comment",IFERROR(W53*X53*Y53*C53,"Fill all blue cells"))),"Fill all blue cells")&lt;0,0,(IFERROR(IF(E53="Y",(W53*(X53-PAR!$C$15)*Y53)*C53,IF(AA53&lt;&gt;"","See Comment",IFERROR(W53*X53*Y53*C53,"Fill all blue cells"))),"Fill all blue cells")))</f>
        <v>See Comment</v>
      </c>
      <c r="AA5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3" s="116" t="str">
        <f t="shared" si="14"/>
        <v/>
      </c>
      <c r="AC53" s="20" t="str">
        <f>IF(AND(E53="Y",D53&lt;PAR!C54),"Non bus miles are less than the minumum of 10 (see column D)",IF(AND(E53="Y",F53&lt;&gt;""),"Non Bus Miles",""))</f>
        <v/>
      </c>
      <c r="AD53" s="20" t="str">
        <f t="shared" si="15"/>
        <v/>
      </c>
      <c r="AE53" s="20" t="str">
        <f t="shared" si="8"/>
        <v>Fill Rated Capacity (see column J),</v>
      </c>
      <c r="AF53" s="20" t="str">
        <f t="shared" si="9"/>
        <v/>
      </c>
      <c r="AG53" s="20" t="str">
        <f t="shared" si="10"/>
        <v>Fill reimbursement % for this LE (see column C)</v>
      </c>
      <c r="AH53" s="20" t="str">
        <f t="shared" si="11"/>
        <v>This route has no eligible riders (see columns L:O)</v>
      </c>
      <c r="AI53" s="20" t="str">
        <f t="shared" si="12"/>
        <v>Fill miles per day (see column D)</v>
      </c>
      <c r="AJ53" s="20" t="str">
        <f t="shared" si="16"/>
        <v>Fill number of operating days (see column F)</v>
      </c>
      <c r="AK53" s="20" t="str">
        <f t="shared" si="17"/>
        <v>Fill Non-Bus Miles with Y or N (See column E)</v>
      </c>
      <c r="AL53" s="98" t="s">
        <v>422</v>
      </c>
      <c r="AM53" s="20" t="str">
        <f t="shared" si="18"/>
        <v/>
      </c>
    </row>
    <row r="54" spans="1:39" x14ac:dyDescent="0.75">
      <c r="A54" s="1" t="s">
        <v>139</v>
      </c>
      <c r="B54" s="130"/>
      <c r="C54" s="33"/>
      <c r="D54" s="41"/>
      <c r="E54" s="48"/>
      <c r="F54" s="45"/>
      <c r="G54" s="32"/>
      <c r="H54" s="16"/>
      <c r="I54" s="126"/>
      <c r="J54" s="32"/>
      <c r="K54" s="16" t="str">
        <f t="shared" si="22"/>
        <v/>
      </c>
      <c r="L54" s="37"/>
      <c r="M54" s="37"/>
      <c r="N54" s="37"/>
      <c r="O54" s="37"/>
      <c r="P54" s="16" t="str">
        <f t="shared" si="19"/>
        <v/>
      </c>
      <c r="Q54" s="37"/>
      <c r="R54" s="37"/>
      <c r="S54" s="37"/>
      <c r="T54" s="37"/>
      <c r="U54" s="16">
        <f t="shared" si="4"/>
        <v>0</v>
      </c>
      <c r="V54" s="16" t="str">
        <f t="shared" si="20"/>
        <v/>
      </c>
      <c r="W54" s="16" t="str">
        <f>IF(E54="Y",PAR!$C$12,IF(J54="","",IF(J54&lt;11,PAR!$C$6,IF(J54&lt;50,PAR!$C$7,IF(J54&lt;60,PAR!$C$8,IF(J54&lt;70,PAR!$C$9,IF(J54&lt;80,PAR!$C$10,IF(J54&gt;79,PAR!$C$11,0))))))))</f>
        <v/>
      </c>
      <c r="X54" s="16" t="str">
        <f t="shared" si="6"/>
        <v/>
      </c>
      <c r="Y54" s="22" t="str">
        <f t="shared" si="7"/>
        <v/>
      </c>
      <c r="Z54" s="100" t="str">
        <f>IF(IFERROR(IF(E54="Y",(W54*(X54-PAR!$C$15)*Y54)*C54,IF(AA54&lt;&gt;"","See Comment",IFERROR(W54*X54*Y54*C54,"Fill all blue cells"))),"Fill all blue cells")&lt;0,0,(IFERROR(IF(E54="Y",(W54*(X54-PAR!$C$15)*Y54)*C54,IF(AA54&lt;&gt;"","See Comment",IFERROR(W54*X54*Y54*C54,"Fill all blue cells"))),"Fill all blue cells")))</f>
        <v>See Comment</v>
      </c>
      <c r="AA5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4" s="116" t="str">
        <f t="shared" si="14"/>
        <v/>
      </c>
      <c r="AC54" s="20" t="str">
        <f>IF(AND(E54="Y",D54&lt;PAR!C55),"Non bus miles are less than the minumum of 10 (see column D)",IF(AND(E54="Y",F54&lt;&gt;""),"Non Bus Miles",""))</f>
        <v/>
      </c>
      <c r="AD54" s="20" t="str">
        <f t="shared" si="15"/>
        <v/>
      </c>
      <c r="AE54" s="20" t="str">
        <f t="shared" si="8"/>
        <v>Fill Rated Capacity (see column J),</v>
      </c>
      <c r="AF54" s="20" t="str">
        <f t="shared" si="9"/>
        <v/>
      </c>
      <c r="AG54" s="20" t="str">
        <f t="shared" si="10"/>
        <v>Fill reimbursement % for this LE (see column C)</v>
      </c>
      <c r="AH54" s="20" t="str">
        <f t="shared" si="11"/>
        <v>This route has no eligible riders (see columns L:O)</v>
      </c>
      <c r="AI54" s="20" t="str">
        <f t="shared" si="12"/>
        <v>Fill miles per day (see column D)</v>
      </c>
      <c r="AJ54" s="20" t="str">
        <f t="shared" si="16"/>
        <v>Fill number of operating days (see column F)</v>
      </c>
      <c r="AK54" s="20" t="str">
        <f t="shared" si="17"/>
        <v>Fill Non-Bus Miles with Y or N (See column E)</v>
      </c>
      <c r="AL54" s="98" t="s">
        <v>422</v>
      </c>
      <c r="AM54" s="20" t="str">
        <f t="shared" si="18"/>
        <v/>
      </c>
    </row>
    <row r="55" spans="1:39" x14ac:dyDescent="0.75">
      <c r="A55" s="1" t="s">
        <v>140</v>
      </c>
      <c r="B55" s="131"/>
      <c r="C55" s="36"/>
      <c r="D55" s="42"/>
      <c r="E55" s="47"/>
      <c r="F55" s="44"/>
      <c r="G55" s="35"/>
      <c r="H55" s="18"/>
      <c r="I55" s="125"/>
      <c r="J55" s="35"/>
      <c r="K55" s="18" t="str">
        <f t="shared" si="22"/>
        <v/>
      </c>
      <c r="L55" s="38"/>
      <c r="M55" s="38"/>
      <c r="N55" s="38"/>
      <c r="O55" s="38"/>
      <c r="P55" s="18" t="str">
        <f t="shared" si="19"/>
        <v/>
      </c>
      <c r="Q55" s="38"/>
      <c r="R55" s="38"/>
      <c r="S55" s="38"/>
      <c r="T55" s="38"/>
      <c r="U55" s="18">
        <f t="shared" si="4"/>
        <v>0</v>
      </c>
      <c r="V55" s="18" t="str">
        <f t="shared" si="20"/>
        <v/>
      </c>
      <c r="W55" s="18" t="str">
        <f>IF(E55="Y",PAR!$C$12,IF(J55="","",IF(J55&lt;11,PAR!$C$6,IF(J55&lt;50,PAR!$C$7,IF(J55&lt;60,PAR!$C$8,IF(J55&lt;70,PAR!$C$9,IF(J55&lt;80,PAR!$C$10,IF(J55&gt;79,PAR!$C$11,0))))))))</f>
        <v/>
      </c>
      <c r="X55" s="18" t="str">
        <f t="shared" si="6"/>
        <v/>
      </c>
      <c r="Y55" s="21" t="str">
        <f t="shared" si="7"/>
        <v/>
      </c>
      <c r="Z55" s="100" t="str">
        <f>IF(IFERROR(IF(E55="Y",(W55*(X55-PAR!$C$15)*Y55)*C55,IF(AA55&lt;&gt;"","See Comment",IFERROR(W55*X55*Y55*C55,"Fill all blue cells"))),"Fill all blue cells")&lt;0,0,(IFERROR(IF(E55="Y",(W55*(X55-PAR!$C$15)*Y55)*C55,IF(AA55&lt;&gt;"","See Comment",IFERROR(W55*X55*Y55*C55,"Fill all blue cells"))),"Fill all blue cells")))</f>
        <v>See Comment</v>
      </c>
      <c r="AA5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5" s="116" t="str">
        <f t="shared" si="14"/>
        <v/>
      </c>
      <c r="AC55" s="20" t="str">
        <f>IF(AND(E55="Y",D55&lt;PAR!C56),"Non bus miles are less than the minumum of 10 (see column D)",IF(AND(E55="Y",F55&lt;&gt;""),"Non Bus Miles",""))</f>
        <v/>
      </c>
      <c r="AD55" s="20" t="str">
        <f t="shared" si="15"/>
        <v/>
      </c>
      <c r="AE55" s="20" t="str">
        <f t="shared" si="8"/>
        <v>Fill Rated Capacity (see column J),</v>
      </c>
      <c r="AF55" s="20" t="str">
        <f t="shared" si="9"/>
        <v/>
      </c>
      <c r="AG55" s="20" t="str">
        <f t="shared" si="10"/>
        <v>Fill reimbursement % for this LE (see column C)</v>
      </c>
      <c r="AH55" s="20" t="str">
        <f t="shared" si="11"/>
        <v>This route has no eligible riders (see columns L:O)</v>
      </c>
      <c r="AI55" s="20" t="str">
        <f t="shared" si="12"/>
        <v>Fill miles per day (see column D)</v>
      </c>
      <c r="AJ55" s="20" t="str">
        <f t="shared" si="16"/>
        <v>Fill number of operating days (see column F)</v>
      </c>
      <c r="AK55" s="20" t="str">
        <f t="shared" si="17"/>
        <v>Fill Non-Bus Miles with Y or N (See column E)</v>
      </c>
      <c r="AL55" s="98" t="s">
        <v>422</v>
      </c>
      <c r="AM55" s="20" t="str">
        <f t="shared" si="18"/>
        <v/>
      </c>
    </row>
    <row r="56" spans="1:39" x14ac:dyDescent="0.75">
      <c r="A56" s="1" t="s">
        <v>141</v>
      </c>
      <c r="B56" s="130"/>
      <c r="C56" s="33"/>
      <c r="D56" s="41"/>
      <c r="E56" s="48"/>
      <c r="F56" s="45"/>
      <c r="G56" s="32"/>
      <c r="H56" s="16"/>
      <c r="I56" s="126"/>
      <c r="J56" s="32"/>
      <c r="K56" s="16" t="str">
        <f t="shared" si="22"/>
        <v/>
      </c>
      <c r="L56" s="37"/>
      <c r="M56" s="37"/>
      <c r="N56" s="37"/>
      <c r="O56" s="37"/>
      <c r="P56" s="16" t="str">
        <f t="shared" si="19"/>
        <v/>
      </c>
      <c r="Q56" s="37"/>
      <c r="R56" s="37"/>
      <c r="S56" s="37"/>
      <c r="T56" s="37"/>
      <c r="U56" s="16">
        <f t="shared" si="4"/>
        <v>0</v>
      </c>
      <c r="V56" s="16" t="str">
        <f t="shared" si="20"/>
        <v/>
      </c>
      <c r="W56" s="16" t="str">
        <f>IF(E56="Y",PAR!$C$12,IF(J56="","",IF(J56&lt;11,PAR!$C$6,IF(J56&lt;50,PAR!$C$7,IF(J56&lt;60,PAR!$C$8,IF(J56&lt;70,PAR!$C$9,IF(J56&lt;80,PAR!$C$10,IF(J56&gt;79,PAR!$C$11,0))))))))</f>
        <v/>
      </c>
      <c r="X56" s="16" t="str">
        <f t="shared" si="6"/>
        <v/>
      </c>
      <c r="Y56" s="22" t="str">
        <f t="shared" si="7"/>
        <v/>
      </c>
      <c r="Z56" s="100" t="str">
        <f>IF(IFERROR(IF(E56="Y",(W56*(X56-PAR!$C$15)*Y56)*C56,IF(AA56&lt;&gt;"","See Comment",IFERROR(W56*X56*Y56*C56,"Fill all blue cells"))),"Fill all blue cells")&lt;0,0,(IFERROR(IF(E56="Y",(W56*(X56-PAR!$C$15)*Y56)*C56,IF(AA56&lt;&gt;"","See Comment",IFERROR(W56*X56*Y56*C56,"Fill all blue cells"))),"Fill all blue cells")))</f>
        <v>See Comment</v>
      </c>
      <c r="AA5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6" s="116" t="str">
        <f t="shared" si="14"/>
        <v/>
      </c>
      <c r="AC56" s="20" t="str">
        <f>IF(AND(E56="Y",D56&lt;PAR!C57),"Non bus miles are less than the minumum of 10 (see column D)",IF(AND(E56="Y",F56&lt;&gt;""),"Non Bus Miles",""))</f>
        <v/>
      </c>
      <c r="AD56" s="20" t="str">
        <f t="shared" si="15"/>
        <v/>
      </c>
      <c r="AE56" s="20" t="str">
        <f t="shared" si="8"/>
        <v>Fill Rated Capacity (see column J),</v>
      </c>
      <c r="AF56" s="20" t="str">
        <f t="shared" si="9"/>
        <v/>
      </c>
      <c r="AG56" s="20" t="str">
        <f t="shared" si="10"/>
        <v>Fill reimbursement % for this LE (see column C)</v>
      </c>
      <c r="AH56" s="20" t="str">
        <f t="shared" si="11"/>
        <v>This route has no eligible riders (see columns L:O)</v>
      </c>
      <c r="AI56" s="20" t="str">
        <f t="shared" si="12"/>
        <v>Fill miles per day (see column D)</v>
      </c>
      <c r="AJ56" s="20" t="str">
        <f t="shared" si="16"/>
        <v>Fill number of operating days (see column F)</v>
      </c>
      <c r="AK56" s="20" t="str">
        <f t="shared" si="17"/>
        <v>Fill Non-Bus Miles with Y or N (See column E)</v>
      </c>
      <c r="AL56" s="98" t="s">
        <v>422</v>
      </c>
      <c r="AM56" s="20" t="str">
        <f t="shared" si="18"/>
        <v/>
      </c>
    </row>
    <row r="57" spans="1:39" x14ac:dyDescent="0.75">
      <c r="A57" s="1" t="s">
        <v>142</v>
      </c>
      <c r="B57" s="131"/>
      <c r="C57" s="36"/>
      <c r="D57" s="42"/>
      <c r="E57" s="47"/>
      <c r="F57" s="44"/>
      <c r="G57" s="35"/>
      <c r="H57" s="18"/>
      <c r="I57" s="125"/>
      <c r="J57" s="35"/>
      <c r="K57" s="18" t="str">
        <f t="shared" si="22"/>
        <v/>
      </c>
      <c r="L57" s="38"/>
      <c r="M57" s="38"/>
      <c r="N57" s="38"/>
      <c r="O57" s="38"/>
      <c r="P57" s="18" t="str">
        <f t="shared" si="19"/>
        <v/>
      </c>
      <c r="Q57" s="38"/>
      <c r="R57" s="38"/>
      <c r="S57" s="38"/>
      <c r="T57" s="38"/>
      <c r="U57" s="18">
        <f t="shared" si="4"/>
        <v>0</v>
      </c>
      <c r="V57" s="18" t="str">
        <f t="shared" si="20"/>
        <v/>
      </c>
      <c r="W57" s="18" t="str">
        <f>IF(E57="Y",PAR!$C$12,IF(J57="","",IF(J57&lt;11,PAR!$C$6,IF(J57&lt;50,PAR!$C$7,IF(J57&lt;60,PAR!$C$8,IF(J57&lt;70,PAR!$C$9,IF(J57&lt;80,PAR!$C$10,IF(J57&gt;79,PAR!$C$11,0))))))))</f>
        <v/>
      </c>
      <c r="X57" s="18" t="str">
        <f t="shared" si="6"/>
        <v/>
      </c>
      <c r="Y57" s="21" t="str">
        <f t="shared" si="7"/>
        <v/>
      </c>
      <c r="Z57" s="100" t="str">
        <f>IF(IFERROR(IF(E57="Y",(W57*(X57-PAR!$C$15)*Y57)*C57,IF(AA57&lt;&gt;"","See Comment",IFERROR(W57*X57*Y57*C57,"Fill all blue cells"))),"Fill all blue cells")&lt;0,0,(IFERROR(IF(E57="Y",(W57*(X57-PAR!$C$15)*Y57)*C57,IF(AA57&lt;&gt;"","See Comment",IFERROR(W57*X57*Y57*C57,"Fill all blue cells"))),"Fill all blue cells")))</f>
        <v>See Comment</v>
      </c>
      <c r="AA5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7" s="116" t="str">
        <f t="shared" si="14"/>
        <v/>
      </c>
      <c r="AC57" s="20" t="str">
        <f>IF(AND(E57="Y",D57&lt;PAR!C58),"Non bus miles are less than the minumum of 10 (see column D)",IF(AND(E57="Y",F57&lt;&gt;""),"Non Bus Miles",""))</f>
        <v/>
      </c>
      <c r="AD57" s="20" t="str">
        <f t="shared" si="15"/>
        <v/>
      </c>
      <c r="AE57" s="20" t="str">
        <f t="shared" si="8"/>
        <v>Fill Rated Capacity (see column J),</v>
      </c>
      <c r="AF57" s="20" t="str">
        <f t="shared" si="9"/>
        <v/>
      </c>
      <c r="AG57" s="20" t="str">
        <f t="shared" si="10"/>
        <v>Fill reimbursement % for this LE (see column C)</v>
      </c>
      <c r="AH57" s="20" t="str">
        <f t="shared" si="11"/>
        <v>This route has no eligible riders (see columns L:O)</v>
      </c>
      <c r="AI57" s="20" t="str">
        <f t="shared" si="12"/>
        <v>Fill miles per day (see column D)</v>
      </c>
      <c r="AJ57" s="20" t="str">
        <f t="shared" si="16"/>
        <v>Fill number of operating days (see column F)</v>
      </c>
      <c r="AK57" s="20" t="str">
        <f t="shared" si="17"/>
        <v>Fill Non-Bus Miles with Y or N (See column E)</v>
      </c>
      <c r="AL57" s="98" t="s">
        <v>422</v>
      </c>
      <c r="AM57" s="20" t="str">
        <f t="shared" si="18"/>
        <v/>
      </c>
    </row>
    <row r="58" spans="1:39" x14ac:dyDescent="0.75">
      <c r="A58" s="1" t="s">
        <v>143</v>
      </c>
      <c r="B58" s="130"/>
      <c r="C58" s="33"/>
      <c r="D58" s="41"/>
      <c r="E58" s="48"/>
      <c r="F58" s="45"/>
      <c r="G58" s="32"/>
      <c r="H58" s="16"/>
      <c r="I58" s="126"/>
      <c r="J58" s="32"/>
      <c r="K58" s="16" t="str">
        <f t="shared" si="22"/>
        <v/>
      </c>
      <c r="L58" s="37"/>
      <c r="M58" s="37"/>
      <c r="N58" s="37"/>
      <c r="O58" s="37"/>
      <c r="P58" s="16" t="str">
        <f t="shared" si="19"/>
        <v/>
      </c>
      <c r="Q58" s="37"/>
      <c r="R58" s="37"/>
      <c r="S58" s="37"/>
      <c r="T58" s="37"/>
      <c r="U58" s="16">
        <f t="shared" si="4"/>
        <v>0</v>
      </c>
      <c r="V58" s="16" t="str">
        <f t="shared" si="20"/>
        <v/>
      </c>
      <c r="W58" s="16" t="str">
        <f>IF(E58="Y",PAR!$C$12,IF(J58="","",IF(J58&lt;11,PAR!$C$6,IF(J58&lt;50,PAR!$C$7,IF(J58&lt;60,PAR!$C$8,IF(J58&lt;70,PAR!$C$9,IF(J58&lt;80,PAR!$C$10,IF(J58&gt;79,PAR!$C$11,0))))))))</f>
        <v/>
      </c>
      <c r="X58" s="16" t="str">
        <f t="shared" si="6"/>
        <v/>
      </c>
      <c r="Y58" s="22" t="str">
        <f t="shared" si="7"/>
        <v/>
      </c>
      <c r="Z58" s="100" t="str">
        <f>IF(IFERROR(IF(E58="Y",(W58*(X58-PAR!$C$15)*Y58)*C58,IF(AA58&lt;&gt;"","See Comment",IFERROR(W58*X58*Y58*C58,"Fill all blue cells"))),"Fill all blue cells")&lt;0,0,(IFERROR(IF(E58="Y",(W58*(X58-PAR!$C$15)*Y58)*C58,IF(AA58&lt;&gt;"","See Comment",IFERROR(W58*X58*Y58*C58,"Fill all blue cells"))),"Fill all blue cells")))</f>
        <v>See Comment</v>
      </c>
      <c r="AA5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8" s="116" t="str">
        <f t="shared" si="14"/>
        <v/>
      </c>
      <c r="AC58" s="20" t="str">
        <f>IF(AND(E58="Y",D58&lt;PAR!C59),"Non bus miles are less than the minumum of 10 (see column D)",IF(AND(E58="Y",F58&lt;&gt;""),"Non Bus Miles",""))</f>
        <v/>
      </c>
      <c r="AD58" s="20" t="str">
        <f t="shared" si="15"/>
        <v/>
      </c>
      <c r="AE58" s="20" t="str">
        <f t="shared" si="8"/>
        <v>Fill Rated Capacity (see column J),</v>
      </c>
      <c r="AF58" s="20" t="str">
        <f t="shared" si="9"/>
        <v/>
      </c>
      <c r="AG58" s="20" t="str">
        <f t="shared" si="10"/>
        <v>Fill reimbursement % for this LE (see column C)</v>
      </c>
      <c r="AH58" s="20" t="str">
        <f t="shared" si="11"/>
        <v>This route has no eligible riders (see columns L:O)</v>
      </c>
      <c r="AI58" s="20" t="str">
        <f t="shared" si="12"/>
        <v>Fill miles per day (see column D)</v>
      </c>
      <c r="AJ58" s="20" t="str">
        <f t="shared" si="16"/>
        <v>Fill number of operating days (see column F)</v>
      </c>
      <c r="AK58" s="20" t="str">
        <f t="shared" si="17"/>
        <v>Fill Non-Bus Miles with Y or N (See column E)</v>
      </c>
      <c r="AL58" s="98" t="s">
        <v>422</v>
      </c>
      <c r="AM58" s="20" t="str">
        <f t="shared" si="18"/>
        <v/>
      </c>
    </row>
    <row r="59" spans="1:39" x14ac:dyDescent="0.75">
      <c r="A59" s="1" t="s">
        <v>144</v>
      </c>
      <c r="B59" s="131"/>
      <c r="C59" s="36"/>
      <c r="D59" s="42"/>
      <c r="E59" s="47"/>
      <c r="F59" s="44"/>
      <c r="G59" s="35"/>
      <c r="H59" s="18"/>
      <c r="I59" s="125"/>
      <c r="J59" s="35"/>
      <c r="K59" s="18" t="str">
        <f t="shared" si="22"/>
        <v/>
      </c>
      <c r="L59" s="38"/>
      <c r="M59" s="38"/>
      <c r="N59" s="38"/>
      <c r="O59" s="38"/>
      <c r="P59" s="18" t="str">
        <f t="shared" si="19"/>
        <v/>
      </c>
      <c r="Q59" s="38"/>
      <c r="R59" s="38"/>
      <c r="S59" s="38"/>
      <c r="T59" s="38"/>
      <c r="U59" s="18">
        <f t="shared" si="4"/>
        <v>0</v>
      </c>
      <c r="V59" s="18" t="str">
        <f t="shared" si="20"/>
        <v/>
      </c>
      <c r="W59" s="18" t="str">
        <f>IF(E59="Y",PAR!$C$12,IF(J59="","",IF(J59&lt;11,PAR!$C$6,IF(J59&lt;50,PAR!$C$7,IF(J59&lt;60,PAR!$C$8,IF(J59&lt;70,PAR!$C$9,IF(J59&lt;80,PAR!$C$10,IF(J59&gt;79,PAR!$C$11,0))))))))</f>
        <v/>
      </c>
      <c r="X59" s="18" t="str">
        <f t="shared" si="6"/>
        <v/>
      </c>
      <c r="Y59" s="21" t="str">
        <f t="shared" si="7"/>
        <v/>
      </c>
      <c r="Z59" s="100" t="str">
        <f>IF(IFERROR(IF(E59="Y",(W59*(X59-PAR!$C$15)*Y59)*C59,IF(AA59&lt;&gt;"","See Comment",IFERROR(W59*X59*Y59*C59,"Fill all blue cells"))),"Fill all blue cells")&lt;0,0,(IFERROR(IF(E59="Y",(W59*(X59-PAR!$C$15)*Y59)*C59,IF(AA59&lt;&gt;"","See Comment",IFERROR(W59*X59*Y59*C59,"Fill all blue cells"))),"Fill all blue cells")))</f>
        <v>See Comment</v>
      </c>
      <c r="AA5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9" s="116" t="str">
        <f t="shared" si="14"/>
        <v/>
      </c>
      <c r="AC59" s="20" t="str">
        <f>IF(AND(E59="Y",D59&lt;PAR!C60),"Non bus miles are less than the minumum of 10 (see column D)",IF(AND(E59="Y",F59&lt;&gt;""),"Non Bus Miles",""))</f>
        <v/>
      </c>
      <c r="AD59" s="20" t="str">
        <f t="shared" si="15"/>
        <v/>
      </c>
      <c r="AE59" s="20" t="str">
        <f t="shared" si="8"/>
        <v>Fill Rated Capacity (see column J),</v>
      </c>
      <c r="AF59" s="20" t="str">
        <f t="shared" si="9"/>
        <v/>
      </c>
      <c r="AG59" s="20" t="str">
        <f t="shared" si="10"/>
        <v>Fill reimbursement % for this LE (see column C)</v>
      </c>
      <c r="AH59" s="20" t="str">
        <f t="shared" si="11"/>
        <v>This route has no eligible riders (see columns L:O)</v>
      </c>
      <c r="AI59" s="20" t="str">
        <f t="shared" si="12"/>
        <v>Fill miles per day (see column D)</v>
      </c>
      <c r="AJ59" s="20" t="str">
        <f t="shared" si="16"/>
        <v>Fill number of operating days (see column F)</v>
      </c>
      <c r="AK59" s="20" t="str">
        <f t="shared" si="17"/>
        <v>Fill Non-Bus Miles with Y or N (See column E)</v>
      </c>
      <c r="AL59" s="98" t="s">
        <v>422</v>
      </c>
      <c r="AM59" s="20" t="str">
        <f t="shared" si="18"/>
        <v/>
      </c>
    </row>
    <row r="60" spans="1:39" x14ac:dyDescent="0.75">
      <c r="A60" s="1" t="s">
        <v>145</v>
      </c>
      <c r="B60" s="130"/>
      <c r="C60" s="33"/>
      <c r="D60" s="41"/>
      <c r="E60" s="48"/>
      <c r="F60" s="45"/>
      <c r="G60" s="32"/>
      <c r="H60" s="16"/>
      <c r="I60" s="126"/>
      <c r="J60" s="32"/>
      <c r="K60" s="16" t="str">
        <f t="shared" si="22"/>
        <v/>
      </c>
      <c r="L60" s="37"/>
      <c r="M60" s="37"/>
      <c r="N60" s="37"/>
      <c r="O60" s="37"/>
      <c r="P60" s="16" t="str">
        <f t="shared" si="19"/>
        <v/>
      </c>
      <c r="Q60" s="37"/>
      <c r="R60" s="37"/>
      <c r="S60" s="37"/>
      <c r="T60" s="37"/>
      <c r="U60" s="16">
        <f t="shared" si="4"/>
        <v>0</v>
      </c>
      <c r="V60" s="16" t="str">
        <f t="shared" si="20"/>
        <v/>
      </c>
      <c r="W60" s="16" t="str">
        <f>IF(E60="Y",PAR!$C$12,IF(J60="","",IF(J60&lt;11,PAR!$C$6,IF(J60&lt;50,PAR!$C$7,IF(J60&lt;60,PAR!$C$8,IF(J60&lt;70,PAR!$C$9,IF(J60&lt;80,PAR!$C$10,IF(J60&gt;79,PAR!$C$11,0))))))))</f>
        <v/>
      </c>
      <c r="X60" s="16" t="str">
        <f t="shared" si="6"/>
        <v/>
      </c>
      <c r="Y60" s="22" t="str">
        <f t="shared" si="7"/>
        <v/>
      </c>
      <c r="Z60" s="100" t="str">
        <f>IF(IFERROR(IF(E60="Y",(W60*(X60-PAR!$C$15)*Y60)*C60,IF(AA60&lt;&gt;"","See Comment",IFERROR(W60*X60*Y60*C60,"Fill all blue cells"))),"Fill all blue cells")&lt;0,0,(IFERROR(IF(E60="Y",(W60*(X60-PAR!$C$15)*Y60)*C60,IF(AA60&lt;&gt;"","See Comment",IFERROR(W60*X60*Y60*C60,"Fill all blue cells"))),"Fill all blue cells")))</f>
        <v>See Comment</v>
      </c>
      <c r="AA6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0" s="116" t="str">
        <f t="shared" si="14"/>
        <v/>
      </c>
      <c r="AC60" s="20" t="str">
        <f>IF(AND(E60="Y",D60&lt;PAR!C61),"Non bus miles are less than the minumum of 10 (see column D)",IF(AND(E60="Y",F60&lt;&gt;""),"Non Bus Miles",""))</f>
        <v/>
      </c>
      <c r="AD60" s="20" t="str">
        <f t="shared" si="15"/>
        <v/>
      </c>
      <c r="AE60" s="20" t="str">
        <f t="shared" si="8"/>
        <v>Fill Rated Capacity (see column J),</v>
      </c>
      <c r="AF60" s="20" t="str">
        <f t="shared" si="9"/>
        <v/>
      </c>
      <c r="AG60" s="20" t="str">
        <f t="shared" si="10"/>
        <v>Fill reimbursement % for this LE (see column C)</v>
      </c>
      <c r="AH60" s="20" t="str">
        <f t="shared" si="11"/>
        <v>This route has no eligible riders (see columns L:O)</v>
      </c>
      <c r="AI60" s="20" t="str">
        <f t="shared" si="12"/>
        <v>Fill miles per day (see column D)</v>
      </c>
      <c r="AJ60" s="20" t="str">
        <f t="shared" si="16"/>
        <v>Fill number of operating days (see column F)</v>
      </c>
      <c r="AK60" s="20" t="str">
        <f t="shared" si="17"/>
        <v>Fill Non-Bus Miles with Y or N (See column E)</v>
      </c>
      <c r="AL60" s="98" t="s">
        <v>422</v>
      </c>
      <c r="AM60" s="20" t="str">
        <f t="shared" si="18"/>
        <v/>
      </c>
    </row>
    <row r="61" spans="1:39" x14ac:dyDescent="0.75">
      <c r="A61" s="1" t="s">
        <v>146</v>
      </c>
      <c r="B61" s="131"/>
      <c r="C61" s="36"/>
      <c r="D61" s="42"/>
      <c r="E61" s="47"/>
      <c r="F61" s="44"/>
      <c r="G61" s="35"/>
      <c r="H61" s="18" t="s">
        <v>50</v>
      </c>
      <c r="I61" s="125"/>
      <c r="J61" s="35"/>
      <c r="K61" s="18" t="str">
        <f t="shared" si="22"/>
        <v/>
      </c>
      <c r="L61" s="38"/>
      <c r="M61" s="38"/>
      <c r="N61" s="38"/>
      <c r="O61" s="38"/>
      <c r="P61" s="18" t="str">
        <f t="shared" si="19"/>
        <v/>
      </c>
      <c r="Q61" s="38"/>
      <c r="R61" s="38"/>
      <c r="S61" s="38"/>
      <c r="T61" s="38"/>
      <c r="U61" s="18">
        <f t="shared" si="4"/>
        <v>0</v>
      </c>
      <c r="V61" s="18" t="str">
        <f t="shared" si="20"/>
        <v/>
      </c>
      <c r="W61" s="18" t="str">
        <f>IF(E61="Y",PAR!$C$12,IF(J61="","",IF(J61&lt;11,PAR!$C$6,IF(J61&lt;50,PAR!$C$7,IF(J61&lt;60,PAR!$C$8,IF(J61&lt;70,PAR!$C$9,IF(J61&lt;80,PAR!$C$10,IF(J61&gt;79,PAR!$C$11,0))))))))</f>
        <v/>
      </c>
      <c r="X61" s="18" t="str">
        <f t="shared" si="6"/>
        <v/>
      </c>
      <c r="Y61" s="21" t="str">
        <f t="shared" si="7"/>
        <v/>
      </c>
      <c r="Z61" s="100" t="str">
        <f>IF(IFERROR(IF(E61="Y",(W61*(X61-PAR!$C$15)*Y61)*C61,IF(AA61&lt;&gt;"","See Comment",IFERROR(W61*X61*Y61*C61,"Fill all blue cells"))),"Fill all blue cells")&lt;0,0,(IFERROR(IF(E61="Y",(W61*(X61-PAR!$C$15)*Y61)*C61,IF(AA61&lt;&gt;"","See Comment",IFERROR(W61*X61*Y61*C61,"Fill all blue cells"))),"Fill all blue cells")))</f>
        <v>See Comment</v>
      </c>
      <c r="AA6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1" s="116" t="str">
        <f t="shared" si="14"/>
        <v/>
      </c>
      <c r="AC61" s="20" t="str">
        <f>IF(AND(E61="Y",D61&lt;PAR!C62),"Non bus miles are less than the minumum of 10 (see column D)",IF(AND(E61="Y",F61&lt;&gt;""),"Non Bus Miles",""))</f>
        <v/>
      </c>
      <c r="AD61" s="20" t="str">
        <f t="shared" si="15"/>
        <v/>
      </c>
      <c r="AE61" s="20" t="str">
        <f t="shared" si="8"/>
        <v>Fill Rated Capacity (see column J),</v>
      </c>
      <c r="AF61" s="20" t="str">
        <f t="shared" si="9"/>
        <v/>
      </c>
      <c r="AG61" s="20" t="str">
        <f t="shared" si="10"/>
        <v>Fill reimbursement % for this LE (see column C)</v>
      </c>
      <c r="AH61" s="20" t="str">
        <f t="shared" si="11"/>
        <v>This route has no eligible riders (see columns L:O)</v>
      </c>
      <c r="AI61" s="20" t="str">
        <f t="shared" si="12"/>
        <v>Fill miles per day (see column D)</v>
      </c>
      <c r="AJ61" s="20" t="str">
        <f t="shared" si="16"/>
        <v>Fill number of operating days (see column F)</v>
      </c>
      <c r="AK61" s="20" t="str">
        <f t="shared" si="17"/>
        <v>Fill Non-Bus Miles with Y or N (See column E)</v>
      </c>
      <c r="AL61" s="98" t="s">
        <v>422</v>
      </c>
      <c r="AM61" s="20" t="str">
        <f t="shared" si="18"/>
        <v/>
      </c>
    </row>
    <row r="62" spans="1:39" x14ac:dyDescent="0.75">
      <c r="A62" s="1" t="s">
        <v>147</v>
      </c>
      <c r="B62" s="130"/>
      <c r="C62" s="33"/>
      <c r="D62" s="41"/>
      <c r="E62" s="48"/>
      <c r="F62" s="45"/>
      <c r="G62" s="32"/>
      <c r="H62" s="16" t="s">
        <v>50</v>
      </c>
      <c r="I62" s="126"/>
      <c r="J62" s="32"/>
      <c r="K62" s="16" t="str">
        <f t="shared" si="22"/>
        <v/>
      </c>
      <c r="L62" s="37"/>
      <c r="M62" s="37"/>
      <c r="N62" s="37"/>
      <c r="O62" s="37"/>
      <c r="P62" s="16" t="str">
        <f t="shared" si="19"/>
        <v/>
      </c>
      <c r="Q62" s="37"/>
      <c r="R62" s="37"/>
      <c r="S62" s="37"/>
      <c r="T62" s="37"/>
      <c r="U62" s="16">
        <f t="shared" si="4"/>
        <v>0</v>
      </c>
      <c r="V62" s="16" t="str">
        <f t="shared" si="20"/>
        <v/>
      </c>
      <c r="W62" s="16" t="str">
        <f>IF(E62="Y",PAR!$C$12,IF(J62="","",IF(J62&lt;11,PAR!$C$6,IF(J62&lt;50,PAR!$C$7,IF(J62&lt;60,PAR!$C$8,IF(J62&lt;70,PAR!$C$9,IF(J62&lt;80,PAR!$C$10,IF(J62&gt;79,PAR!$C$11,0))))))))</f>
        <v/>
      </c>
      <c r="X62" s="16" t="str">
        <f t="shared" si="6"/>
        <v/>
      </c>
      <c r="Y62" s="22" t="str">
        <f t="shared" si="7"/>
        <v/>
      </c>
      <c r="Z62" s="100" t="str">
        <f>IF(IFERROR(IF(E62="Y",(W62*(X62-PAR!$C$15)*Y62)*C62,IF(AA62&lt;&gt;"","See Comment",IFERROR(W62*X62*Y62*C62,"Fill all blue cells"))),"Fill all blue cells")&lt;0,0,(IFERROR(IF(E62="Y",(W62*(X62-PAR!$C$15)*Y62)*C62,IF(AA62&lt;&gt;"","See Comment",IFERROR(W62*X62*Y62*C62,"Fill all blue cells"))),"Fill all blue cells")))</f>
        <v>See Comment</v>
      </c>
      <c r="AA6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2" s="116" t="str">
        <f t="shared" si="14"/>
        <v/>
      </c>
      <c r="AC62" s="20" t="str">
        <f>IF(AND(E62="Y",D62&lt;PAR!C63),"Non bus miles are less than the minumum of 10 (see column D)",IF(AND(E62="Y",F62&lt;&gt;""),"Non Bus Miles",""))</f>
        <v/>
      </c>
      <c r="AD62" s="20" t="str">
        <f t="shared" si="15"/>
        <v/>
      </c>
      <c r="AE62" s="20" t="str">
        <f t="shared" si="8"/>
        <v>Fill Rated Capacity (see column J),</v>
      </c>
      <c r="AF62" s="20" t="str">
        <f t="shared" si="9"/>
        <v/>
      </c>
      <c r="AG62" s="20" t="str">
        <f t="shared" si="10"/>
        <v>Fill reimbursement % for this LE (see column C)</v>
      </c>
      <c r="AH62" s="20" t="str">
        <f t="shared" si="11"/>
        <v>This route has no eligible riders (see columns L:O)</v>
      </c>
      <c r="AI62" s="20" t="str">
        <f t="shared" si="12"/>
        <v>Fill miles per day (see column D)</v>
      </c>
      <c r="AJ62" s="20" t="str">
        <f t="shared" si="16"/>
        <v>Fill number of operating days (see column F)</v>
      </c>
      <c r="AK62" s="20" t="str">
        <f t="shared" si="17"/>
        <v>Fill Non-Bus Miles with Y or N (See column E)</v>
      </c>
      <c r="AL62" s="98" t="s">
        <v>422</v>
      </c>
      <c r="AM62" s="20" t="str">
        <f t="shared" si="18"/>
        <v/>
      </c>
    </row>
    <row r="63" spans="1:39" x14ac:dyDescent="0.75">
      <c r="A63" s="1" t="s">
        <v>148</v>
      </c>
      <c r="B63" s="131"/>
      <c r="C63" s="36"/>
      <c r="D63" s="42"/>
      <c r="E63" s="47"/>
      <c r="F63" s="44"/>
      <c r="G63" s="35"/>
      <c r="H63" s="18" t="s">
        <v>50</v>
      </c>
      <c r="I63" s="125"/>
      <c r="J63" s="35"/>
      <c r="K63" s="18" t="str">
        <f t="shared" si="22"/>
        <v/>
      </c>
      <c r="L63" s="38"/>
      <c r="M63" s="38"/>
      <c r="N63" s="38"/>
      <c r="O63" s="38"/>
      <c r="P63" s="18" t="str">
        <f t="shared" si="19"/>
        <v/>
      </c>
      <c r="Q63" s="38"/>
      <c r="R63" s="38"/>
      <c r="S63" s="38"/>
      <c r="T63" s="38"/>
      <c r="U63" s="18">
        <f t="shared" si="4"/>
        <v>0</v>
      </c>
      <c r="V63" s="18" t="str">
        <f t="shared" si="20"/>
        <v/>
      </c>
      <c r="W63" s="18" t="str">
        <f>IF(E63="Y",PAR!$C$12,IF(J63="","",IF(J63&lt;11,PAR!$C$6,IF(J63&lt;50,PAR!$C$7,IF(J63&lt;60,PAR!$C$8,IF(J63&lt;70,PAR!$C$9,IF(J63&lt;80,PAR!$C$10,IF(J63&gt;79,PAR!$C$11,0))))))))</f>
        <v/>
      </c>
      <c r="X63" s="18" t="str">
        <f t="shared" si="6"/>
        <v/>
      </c>
      <c r="Y63" s="21" t="str">
        <f t="shared" si="7"/>
        <v/>
      </c>
      <c r="Z63" s="100" t="str">
        <f>IF(IFERROR(IF(E63="Y",(W63*(X63-PAR!$C$15)*Y63)*C63,IF(AA63&lt;&gt;"","See Comment",IFERROR(W63*X63*Y63*C63,"Fill all blue cells"))),"Fill all blue cells")&lt;0,0,(IFERROR(IF(E63="Y",(W63*(X63-PAR!$C$15)*Y63)*C63,IF(AA63&lt;&gt;"","See Comment",IFERROR(W63*X63*Y63*C63,"Fill all blue cells"))),"Fill all blue cells")))</f>
        <v>See Comment</v>
      </c>
      <c r="AA6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3" s="116" t="str">
        <f t="shared" si="14"/>
        <v/>
      </c>
      <c r="AC63" s="20" t="str">
        <f>IF(AND(E63="Y",D63&lt;PAR!C64),"Non bus miles are less than the minumum of 10 (see column D)",IF(AND(E63="Y",F63&lt;&gt;""),"Non Bus Miles",""))</f>
        <v/>
      </c>
      <c r="AD63" s="20" t="str">
        <f t="shared" si="15"/>
        <v/>
      </c>
      <c r="AE63" s="20" t="str">
        <f t="shared" si="8"/>
        <v>Fill Rated Capacity (see column J),</v>
      </c>
      <c r="AF63" s="20" t="str">
        <f t="shared" si="9"/>
        <v/>
      </c>
      <c r="AG63" s="20" t="str">
        <f t="shared" si="10"/>
        <v>Fill reimbursement % for this LE (see column C)</v>
      </c>
      <c r="AH63" s="20" t="str">
        <f t="shared" si="11"/>
        <v>This route has no eligible riders (see columns L:O)</v>
      </c>
      <c r="AI63" s="20" t="str">
        <f t="shared" si="12"/>
        <v>Fill miles per day (see column D)</v>
      </c>
      <c r="AJ63" s="20" t="str">
        <f t="shared" si="16"/>
        <v>Fill number of operating days (see column F)</v>
      </c>
      <c r="AK63" s="20" t="str">
        <f t="shared" si="17"/>
        <v>Fill Non-Bus Miles with Y or N (See column E)</v>
      </c>
      <c r="AL63" s="98" t="s">
        <v>422</v>
      </c>
      <c r="AM63" s="20" t="str">
        <f t="shared" si="18"/>
        <v/>
      </c>
    </row>
    <row r="64" spans="1:39" x14ac:dyDescent="0.75">
      <c r="A64" s="1" t="s">
        <v>149</v>
      </c>
      <c r="B64" s="130"/>
      <c r="C64" s="33"/>
      <c r="D64" s="41"/>
      <c r="E64" s="48"/>
      <c r="F64" s="45"/>
      <c r="G64" s="32"/>
      <c r="H64" s="16" t="s">
        <v>50</v>
      </c>
      <c r="I64" s="126"/>
      <c r="J64" s="32"/>
      <c r="K64" s="16" t="str">
        <f t="shared" si="22"/>
        <v/>
      </c>
      <c r="L64" s="37"/>
      <c r="M64" s="37"/>
      <c r="N64" s="37"/>
      <c r="O64" s="37"/>
      <c r="P64" s="16" t="str">
        <f t="shared" si="19"/>
        <v/>
      </c>
      <c r="Q64" s="37"/>
      <c r="R64" s="37"/>
      <c r="S64" s="37"/>
      <c r="T64" s="37"/>
      <c r="U64" s="16">
        <f t="shared" si="4"/>
        <v>0</v>
      </c>
      <c r="V64" s="16" t="str">
        <f t="shared" si="20"/>
        <v/>
      </c>
      <c r="W64" s="16" t="str">
        <f>IF(E64="Y",PAR!$C$12,IF(J64="","",IF(J64&lt;11,PAR!$C$6,IF(J64&lt;50,PAR!$C$7,IF(J64&lt;60,PAR!$C$8,IF(J64&lt;70,PAR!$C$9,IF(J64&lt;80,PAR!$C$10,IF(J64&gt;79,PAR!$C$11,0))))))))</f>
        <v/>
      </c>
      <c r="X64" s="16" t="str">
        <f t="shared" si="6"/>
        <v/>
      </c>
      <c r="Y64" s="22" t="str">
        <f t="shared" si="7"/>
        <v/>
      </c>
      <c r="Z64" s="100" t="str">
        <f>IF(IFERROR(IF(E64="Y",(W64*(X64-PAR!$C$15)*Y64)*C64,IF(AA64&lt;&gt;"","See Comment",IFERROR(W64*X64*Y64*C64,"Fill all blue cells"))),"Fill all blue cells")&lt;0,0,(IFERROR(IF(E64="Y",(W64*(X64-PAR!$C$15)*Y64)*C64,IF(AA64&lt;&gt;"","See Comment",IFERROR(W64*X64*Y64*C64,"Fill all blue cells"))),"Fill all blue cells")))</f>
        <v>See Comment</v>
      </c>
      <c r="AA6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4" s="116" t="str">
        <f t="shared" si="14"/>
        <v/>
      </c>
      <c r="AC64" s="20" t="str">
        <f>IF(AND(E64="Y",D64&lt;PAR!C65),"Non bus miles are less than the minumum of 10 (see column D)",IF(AND(E64="Y",F64&lt;&gt;""),"Non Bus Miles",""))</f>
        <v/>
      </c>
      <c r="AD64" s="20" t="str">
        <f t="shared" si="15"/>
        <v/>
      </c>
      <c r="AE64" s="20" t="str">
        <f t="shared" si="8"/>
        <v>Fill Rated Capacity (see column J),</v>
      </c>
      <c r="AF64" s="20" t="str">
        <f t="shared" si="9"/>
        <v/>
      </c>
      <c r="AG64" s="20" t="str">
        <f t="shared" si="10"/>
        <v>Fill reimbursement % for this LE (see column C)</v>
      </c>
      <c r="AH64" s="20" t="str">
        <f t="shared" si="11"/>
        <v>This route has no eligible riders (see columns L:O)</v>
      </c>
      <c r="AI64" s="20" t="str">
        <f t="shared" si="12"/>
        <v>Fill miles per day (see column D)</v>
      </c>
      <c r="AJ64" s="20" t="str">
        <f t="shared" si="16"/>
        <v>Fill number of operating days (see column F)</v>
      </c>
      <c r="AK64" s="20" t="str">
        <f t="shared" si="17"/>
        <v>Fill Non-Bus Miles with Y or N (See column E)</v>
      </c>
      <c r="AL64" s="98" t="s">
        <v>422</v>
      </c>
      <c r="AM64" s="20" t="str">
        <f t="shared" si="18"/>
        <v/>
      </c>
    </row>
    <row r="65" spans="1:39" x14ac:dyDescent="0.75">
      <c r="A65" s="1" t="s">
        <v>150</v>
      </c>
      <c r="B65" s="131"/>
      <c r="C65" s="36"/>
      <c r="D65" s="42"/>
      <c r="E65" s="47"/>
      <c r="F65" s="44"/>
      <c r="G65" s="35"/>
      <c r="H65" s="18" t="s">
        <v>50</v>
      </c>
      <c r="I65" s="125"/>
      <c r="J65" s="35"/>
      <c r="K65" s="18" t="str">
        <f t="shared" si="22"/>
        <v/>
      </c>
      <c r="L65" s="38"/>
      <c r="M65" s="38"/>
      <c r="N65" s="38"/>
      <c r="O65" s="38"/>
      <c r="P65" s="18" t="str">
        <f t="shared" si="19"/>
        <v/>
      </c>
      <c r="Q65" s="38"/>
      <c r="R65" s="38"/>
      <c r="S65" s="38"/>
      <c r="T65" s="38"/>
      <c r="U65" s="18">
        <f t="shared" si="4"/>
        <v>0</v>
      </c>
      <c r="V65" s="18" t="str">
        <f t="shared" si="20"/>
        <v/>
      </c>
      <c r="W65" s="18" t="str">
        <f>IF(E65="Y",PAR!$C$12,IF(J65="","",IF(J65&lt;11,PAR!$C$6,IF(J65&lt;50,PAR!$C$7,IF(J65&lt;60,PAR!$C$8,IF(J65&lt;70,PAR!$C$9,IF(J65&lt;80,PAR!$C$10,IF(J65&gt;79,PAR!$C$11,0))))))))</f>
        <v/>
      </c>
      <c r="X65" s="18" t="str">
        <f t="shared" si="6"/>
        <v/>
      </c>
      <c r="Y65" s="21" t="str">
        <f t="shared" si="7"/>
        <v/>
      </c>
      <c r="Z65" s="100" t="str">
        <f>IF(IFERROR(IF(E65="Y",(W65*(X65-PAR!$C$15)*Y65)*C65,IF(AA65&lt;&gt;"","See Comment",IFERROR(W65*X65*Y65*C65,"Fill all blue cells"))),"Fill all blue cells")&lt;0,0,(IFERROR(IF(E65="Y",(W65*(X65-PAR!$C$15)*Y65)*C65,IF(AA65&lt;&gt;"","See Comment",IFERROR(W65*X65*Y65*C65,"Fill all blue cells"))),"Fill all blue cells")))</f>
        <v>See Comment</v>
      </c>
      <c r="AA6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5" s="116" t="str">
        <f t="shared" si="14"/>
        <v/>
      </c>
      <c r="AC65" s="20" t="str">
        <f>IF(AND(E65="Y",D65&lt;PAR!C66),"Non bus miles are less than the minumum of 10 (see column D)",IF(AND(E65="Y",F65&lt;&gt;""),"Non Bus Miles",""))</f>
        <v/>
      </c>
      <c r="AD65" s="20" t="str">
        <f t="shared" si="15"/>
        <v/>
      </c>
      <c r="AE65" s="20" t="str">
        <f t="shared" si="8"/>
        <v>Fill Rated Capacity (see column J),</v>
      </c>
      <c r="AF65" s="20" t="str">
        <f t="shared" si="9"/>
        <v/>
      </c>
      <c r="AG65" s="20" t="str">
        <f t="shared" si="10"/>
        <v>Fill reimbursement % for this LE (see column C)</v>
      </c>
      <c r="AH65" s="20" t="str">
        <f t="shared" si="11"/>
        <v>This route has no eligible riders (see columns L:O)</v>
      </c>
      <c r="AI65" s="20" t="str">
        <f t="shared" si="12"/>
        <v>Fill miles per day (see column D)</v>
      </c>
      <c r="AJ65" s="20" t="str">
        <f t="shared" si="16"/>
        <v>Fill number of operating days (see column F)</v>
      </c>
      <c r="AK65" s="20" t="str">
        <f t="shared" si="17"/>
        <v>Fill Non-Bus Miles with Y or N (See column E)</v>
      </c>
      <c r="AL65" s="98" t="s">
        <v>422</v>
      </c>
      <c r="AM65" s="20" t="str">
        <f t="shared" si="18"/>
        <v/>
      </c>
    </row>
    <row r="66" spans="1:39" x14ac:dyDescent="0.75">
      <c r="A66" s="1" t="s">
        <v>151</v>
      </c>
      <c r="B66" s="130"/>
      <c r="C66" s="33"/>
      <c r="D66" s="41"/>
      <c r="E66" s="48"/>
      <c r="F66" s="45"/>
      <c r="G66" s="32"/>
      <c r="H66" s="16" t="s">
        <v>50</v>
      </c>
      <c r="I66" s="126"/>
      <c r="J66" s="32"/>
      <c r="K66" s="16" t="str">
        <f t="shared" si="22"/>
        <v/>
      </c>
      <c r="L66" s="37"/>
      <c r="M66" s="37"/>
      <c r="N66" s="37"/>
      <c r="O66" s="37"/>
      <c r="P66" s="16" t="str">
        <f t="shared" si="19"/>
        <v/>
      </c>
      <c r="Q66" s="37"/>
      <c r="R66" s="37"/>
      <c r="S66" s="37"/>
      <c r="T66" s="37"/>
      <c r="U66" s="16">
        <f t="shared" si="4"/>
        <v>0</v>
      </c>
      <c r="V66" s="16" t="str">
        <f t="shared" si="20"/>
        <v/>
      </c>
      <c r="W66" s="16" t="str">
        <f>IF(E66="Y",PAR!$C$12,IF(J66="","",IF(J66&lt;11,PAR!$C$6,IF(J66&lt;50,PAR!$C$7,IF(J66&lt;60,PAR!$C$8,IF(J66&lt;70,PAR!$C$9,IF(J66&lt;80,PAR!$C$10,IF(J66&gt;79,PAR!$C$11,0))))))))</f>
        <v/>
      </c>
      <c r="X66" s="16" t="str">
        <f t="shared" si="6"/>
        <v/>
      </c>
      <c r="Y66" s="22" t="str">
        <f t="shared" si="7"/>
        <v/>
      </c>
      <c r="Z66" s="100" t="str">
        <f>IF(IFERROR(IF(E66="Y",(W66*(X66-PAR!$C$15)*Y66)*C66,IF(AA66&lt;&gt;"","See Comment",IFERROR(W66*X66*Y66*C66,"Fill all blue cells"))),"Fill all blue cells")&lt;0,0,(IFERROR(IF(E66="Y",(W66*(X66-PAR!$C$15)*Y66)*C66,IF(AA66&lt;&gt;"","See Comment",IFERROR(W66*X66*Y66*C66,"Fill all blue cells"))),"Fill all blue cells")))</f>
        <v>See Comment</v>
      </c>
      <c r="AA6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6" s="116" t="str">
        <f t="shared" si="14"/>
        <v/>
      </c>
      <c r="AC66" s="20" t="str">
        <f>IF(AND(E66="Y",D66&lt;PAR!C67),"Non bus miles are less than the minumum of 10 (see column D)",IF(AND(E66="Y",F66&lt;&gt;""),"Non Bus Miles",""))</f>
        <v/>
      </c>
      <c r="AD66" s="20" t="str">
        <f t="shared" si="15"/>
        <v/>
      </c>
      <c r="AE66" s="20" t="str">
        <f t="shared" si="8"/>
        <v>Fill Rated Capacity (see column J),</v>
      </c>
      <c r="AF66" s="20" t="str">
        <f t="shared" si="9"/>
        <v/>
      </c>
      <c r="AG66" s="20" t="str">
        <f t="shared" si="10"/>
        <v>Fill reimbursement % for this LE (see column C)</v>
      </c>
      <c r="AH66" s="20" t="str">
        <f t="shared" si="11"/>
        <v>This route has no eligible riders (see columns L:O)</v>
      </c>
      <c r="AI66" s="20" t="str">
        <f t="shared" si="12"/>
        <v>Fill miles per day (see column D)</v>
      </c>
      <c r="AJ66" s="20" t="str">
        <f t="shared" si="16"/>
        <v>Fill number of operating days (see column F)</v>
      </c>
      <c r="AK66" s="20" t="str">
        <f t="shared" si="17"/>
        <v>Fill Non-Bus Miles with Y or N (See column E)</v>
      </c>
      <c r="AL66" s="98" t="s">
        <v>422</v>
      </c>
      <c r="AM66" s="20" t="str">
        <f t="shared" si="18"/>
        <v/>
      </c>
    </row>
    <row r="67" spans="1:39" x14ac:dyDescent="0.75">
      <c r="A67" s="1" t="s">
        <v>152</v>
      </c>
      <c r="B67" s="131"/>
      <c r="C67" s="36"/>
      <c r="D67" s="42"/>
      <c r="E67" s="47"/>
      <c r="F67" s="44"/>
      <c r="G67" s="35"/>
      <c r="H67" s="18" t="s">
        <v>50</v>
      </c>
      <c r="I67" s="125"/>
      <c r="J67" s="35"/>
      <c r="K67" s="18" t="str">
        <f t="shared" si="22"/>
        <v/>
      </c>
      <c r="L67" s="38"/>
      <c r="M67" s="38"/>
      <c r="N67" s="38"/>
      <c r="O67" s="38"/>
      <c r="P67" s="18" t="str">
        <f t="shared" si="19"/>
        <v/>
      </c>
      <c r="Q67" s="38"/>
      <c r="R67" s="38"/>
      <c r="S67" s="38"/>
      <c r="T67" s="38"/>
      <c r="U67" s="18">
        <f t="shared" si="4"/>
        <v>0</v>
      </c>
      <c r="V67" s="18" t="str">
        <f t="shared" si="20"/>
        <v/>
      </c>
      <c r="W67" s="18" t="str">
        <f>IF(E67="Y",PAR!$C$12,IF(J67="","",IF(J67&lt;11,PAR!$C$6,IF(J67&lt;50,PAR!$C$7,IF(J67&lt;60,PAR!$C$8,IF(J67&lt;70,PAR!$C$9,IF(J67&lt;80,PAR!$C$10,IF(J67&gt;79,PAR!$C$11,0))))))))</f>
        <v/>
      </c>
      <c r="X67" s="18" t="str">
        <f t="shared" si="6"/>
        <v/>
      </c>
      <c r="Y67" s="21" t="str">
        <f t="shared" si="7"/>
        <v/>
      </c>
      <c r="Z67" s="100" t="str">
        <f>IF(IFERROR(IF(E67="Y",(W67*(X67-PAR!$C$15)*Y67)*C67,IF(AA67&lt;&gt;"","See Comment",IFERROR(W67*X67*Y67*C67,"Fill all blue cells"))),"Fill all blue cells")&lt;0,0,(IFERROR(IF(E67="Y",(W67*(X67-PAR!$C$15)*Y67)*C67,IF(AA67&lt;&gt;"","See Comment",IFERROR(W67*X67*Y67*C67,"Fill all blue cells"))),"Fill all blue cells")))</f>
        <v>See Comment</v>
      </c>
      <c r="AA6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7" s="116" t="str">
        <f t="shared" si="14"/>
        <v/>
      </c>
      <c r="AC67" s="20" t="str">
        <f>IF(AND(E67="Y",D67&lt;PAR!C68),"Non bus miles are less than the minumum of 10 (see column D)",IF(AND(E67="Y",F67&lt;&gt;""),"Non Bus Miles",""))</f>
        <v/>
      </c>
      <c r="AD67" s="20" t="str">
        <f t="shared" si="15"/>
        <v/>
      </c>
      <c r="AE67" s="20" t="str">
        <f t="shared" si="8"/>
        <v>Fill Rated Capacity (see column J),</v>
      </c>
      <c r="AF67" s="20" t="str">
        <f t="shared" si="9"/>
        <v/>
      </c>
      <c r="AG67" s="20" t="str">
        <f t="shared" si="10"/>
        <v>Fill reimbursement % for this LE (see column C)</v>
      </c>
      <c r="AH67" s="20" t="str">
        <f t="shared" si="11"/>
        <v>This route has no eligible riders (see columns L:O)</v>
      </c>
      <c r="AI67" s="20" t="str">
        <f t="shared" si="12"/>
        <v>Fill miles per day (see column D)</v>
      </c>
      <c r="AJ67" s="20" t="str">
        <f t="shared" si="16"/>
        <v>Fill number of operating days (see column F)</v>
      </c>
      <c r="AK67" s="20" t="str">
        <f t="shared" si="17"/>
        <v>Fill Non-Bus Miles with Y or N (See column E)</v>
      </c>
      <c r="AL67" s="98" t="s">
        <v>422</v>
      </c>
      <c r="AM67" s="20" t="str">
        <f t="shared" si="18"/>
        <v/>
      </c>
    </row>
    <row r="68" spans="1:39" x14ac:dyDescent="0.75">
      <c r="A68" s="1" t="s">
        <v>153</v>
      </c>
      <c r="B68" s="130"/>
      <c r="C68" s="33"/>
      <c r="D68" s="41"/>
      <c r="E68" s="48"/>
      <c r="F68" s="45"/>
      <c r="G68" s="32"/>
      <c r="H68" s="16" t="s">
        <v>50</v>
      </c>
      <c r="I68" s="126"/>
      <c r="J68" s="32"/>
      <c r="K68" s="16" t="str">
        <f t="shared" si="22"/>
        <v/>
      </c>
      <c r="L68" s="37"/>
      <c r="M68" s="37"/>
      <c r="N68" s="37"/>
      <c r="O68" s="37"/>
      <c r="P68" s="16" t="str">
        <f t="shared" si="19"/>
        <v/>
      </c>
      <c r="Q68" s="37"/>
      <c r="R68" s="37"/>
      <c r="S68" s="37"/>
      <c r="T68" s="37"/>
      <c r="U68" s="16">
        <f t="shared" si="4"/>
        <v>0</v>
      </c>
      <c r="V68" s="16" t="str">
        <f t="shared" si="20"/>
        <v/>
      </c>
      <c r="W68" s="16" t="str">
        <f>IF(E68="Y",PAR!$C$12,IF(J68="","",IF(J68&lt;11,PAR!$C$6,IF(J68&lt;50,PAR!$C$7,IF(J68&lt;60,PAR!$C$8,IF(J68&lt;70,PAR!$C$9,IF(J68&lt;80,PAR!$C$10,IF(J68&gt;79,PAR!$C$11,0))))))))</f>
        <v/>
      </c>
      <c r="X68" s="16" t="str">
        <f t="shared" si="6"/>
        <v/>
      </c>
      <c r="Y68" s="22" t="str">
        <f t="shared" si="7"/>
        <v/>
      </c>
      <c r="Z68" s="100" t="str">
        <f>IF(IFERROR(IF(E68="Y",(W68*(X68-PAR!$C$15)*Y68)*C68,IF(AA68&lt;&gt;"","See Comment",IFERROR(W68*X68*Y68*C68,"Fill all blue cells"))),"Fill all blue cells")&lt;0,0,(IFERROR(IF(E68="Y",(W68*(X68-PAR!$C$15)*Y68)*C68,IF(AA68&lt;&gt;"","See Comment",IFERROR(W68*X68*Y68*C68,"Fill all blue cells"))),"Fill all blue cells")))</f>
        <v>See Comment</v>
      </c>
      <c r="AA6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8" s="116" t="str">
        <f t="shared" si="14"/>
        <v/>
      </c>
      <c r="AC68" s="20" t="str">
        <f>IF(AND(E68="Y",D68&lt;PAR!C69),"Non bus miles are less than the minumum of 10 (see column D)",IF(AND(E68="Y",F68&lt;&gt;""),"Non Bus Miles",""))</f>
        <v/>
      </c>
      <c r="AD68" s="20" t="str">
        <f t="shared" si="15"/>
        <v/>
      </c>
      <c r="AE68" s="20" t="str">
        <f t="shared" si="8"/>
        <v>Fill Rated Capacity (see column J),</v>
      </c>
      <c r="AF68" s="20" t="str">
        <f t="shared" si="9"/>
        <v/>
      </c>
      <c r="AG68" s="20" t="str">
        <f t="shared" si="10"/>
        <v>Fill reimbursement % for this LE (see column C)</v>
      </c>
      <c r="AH68" s="20" t="str">
        <f t="shared" si="11"/>
        <v>This route has no eligible riders (see columns L:O)</v>
      </c>
      <c r="AI68" s="20" t="str">
        <f t="shared" si="12"/>
        <v>Fill miles per day (see column D)</v>
      </c>
      <c r="AJ68" s="20" t="str">
        <f t="shared" si="16"/>
        <v>Fill number of operating days (see column F)</v>
      </c>
      <c r="AK68" s="20" t="str">
        <f t="shared" si="17"/>
        <v>Fill Non-Bus Miles with Y or N (See column E)</v>
      </c>
      <c r="AL68" s="98" t="s">
        <v>422</v>
      </c>
      <c r="AM68" s="20" t="str">
        <f t="shared" si="18"/>
        <v/>
      </c>
    </row>
    <row r="69" spans="1:39" x14ac:dyDescent="0.75">
      <c r="A69" s="1" t="s">
        <v>154</v>
      </c>
      <c r="B69" s="131"/>
      <c r="C69" s="36"/>
      <c r="D69" s="42"/>
      <c r="E69" s="47"/>
      <c r="F69" s="44"/>
      <c r="G69" s="35"/>
      <c r="H69" s="18" t="s">
        <v>50</v>
      </c>
      <c r="I69" s="125"/>
      <c r="J69" s="35"/>
      <c r="K69" s="18" t="str">
        <f t="shared" si="22"/>
        <v/>
      </c>
      <c r="L69" s="38"/>
      <c r="M69" s="38"/>
      <c r="N69" s="38"/>
      <c r="O69" s="38"/>
      <c r="P69" s="18" t="str">
        <f t="shared" si="19"/>
        <v/>
      </c>
      <c r="Q69" s="38"/>
      <c r="R69" s="38"/>
      <c r="S69" s="38"/>
      <c r="T69" s="38"/>
      <c r="U69" s="18">
        <f t="shared" si="4"/>
        <v>0</v>
      </c>
      <c r="V69" s="18" t="str">
        <f t="shared" si="20"/>
        <v/>
      </c>
      <c r="W69" s="18" t="str">
        <f>IF(E69="Y",PAR!$C$12,IF(J69="","",IF(J69&lt;11,PAR!$C$6,IF(J69&lt;50,PAR!$C$7,IF(J69&lt;60,PAR!$C$8,IF(J69&lt;70,PAR!$C$9,IF(J69&lt;80,PAR!$C$10,IF(J69&gt;79,PAR!$C$11,0))))))))</f>
        <v/>
      </c>
      <c r="X69" s="18" t="str">
        <f t="shared" si="6"/>
        <v/>
      </c>
      <c r="Y69" s="21" t="str">
        <f t="shared" si="7"/>
        <v/>
      </c>
      <c r="Z69" s="100" t="str">
        <f>IF(IFERROR(IF(E69="Y",(W69*(X69-PAR!$C$15)*Y69)*C69,IF(AA69&lt;&gt;"","See Comment",IFERROR(W69*X69*Y69*C69,"Fill all blue cells"))),"Fill all blue cells")&lt;0,0,(IFERROR(IF(E69="Y",(W69*(X69-PAR!$C$15)*Y69)*C69,IF(AA69&lt;&gt;"","See Comment",IFERROR(W69*X69*Y69*C69,"Fill all blue cells"))),"Fill all blue cells")))</f>
        <v>See Comment</v>
      </c>
      <c r="AA6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9" s="116" t="str">
        <f t="shared" si="14"/>
        <v/>
      </c>
      <c r="AC69" s="20" t="str">
        <f>IF(AND(E69="Y",D69&lt;PAR!C70),"Non bus miles are less than the minumum of 10 (see column D)",IF(AND(E69="Y",F69&lt;&gt;""),"Non Bus Miles",""))</f>
        <v/>
      </c>
      <c r="AD69" s="20" t="str">
        <f t="shared" si="15"/>
        <v/>
      </c>
      <c r="AE69" s="20" t="str">
        <f t="shared" si="8"/>
        <v>Fill Rated Capacity (see column J),</v>
      </c>
      <c r="AF69" s="20" t="str">
        <f t="shared" si="9"/>
        <v/>
      </c>
      <c r="AG69" s="20" t="str">
        <f t="shared" si="10"/>
        <v>Fill reimbursement % for this LE (see column C)</v>
      </c>
      <c r="AH69" s="20" t="str">
        <f t="shared" si="11"/>
        <v>This route has no eligible riders (see columns L:O)</v>
      </c>
      <c r="AI69" s="20" t="str">
        <f t="shared" si="12"/>
        <v>Fill miles per day (see column D)</v>
      </c>
      <c r="AJ69" s="20" t="str">
        <f t="shared" si="16"/>
        <v>Fill number of operating days (see column F)</v>
      </c>
      <c r="AK69" s="20" t="str">
        <f t="shared" si="17"/>
        <v>Fill Non-Bus Miles with Y or N (See column E)</v>
      </c>
      <c r="AL69" s="98" t="s">
        <v>422</v>
      </c>
      <c r="AM69" s="20" t="str">
        <f t="shared" si="18"/>
        <v/>
      </c>
    </row>
    <row r="70" spans="1:39" x14ac:dyDescent="0.75">
      <c r="A70" s="1" t="s">
        <v>155</v>
      </c>
      <c r="B70" s="130"/>
      <c r="C70" s="33"/>
      <c r="D70" s="41"/>
      <c r="E70" s="48"/>
      <c r="F70" s="45"/>
      <c r="G70" s="32"/>
      <c r="H70" s="16" t="s">
        <v>50</v>
      </c>
      <c r="I70" s="126"/>
      <c r="J70" s="32"/>
      <c r="K70" s="16" t="str">
        <f t="shared" si="22"/>
        <v/>
      </c>
      <c r="L70" s="37"/>
      <c r="M70" s="37"/>
      <c r="N70" s="37"/>
      <c r="O70" s="37"/>
      <c r="P70" s="16" t="str">
        <f t="shared" si="19"/>
        <v/>
      </c>
      <c r="Q70" s="37"/>
      <c r="R70" s="37"/>
      <c r="S70" s="37"/>
      <c r="T70" s="37"/>
      <c r="U70" s="16">
        <f t="shared" si="4"/>
        <v>0</v>
      </c>
      <c r="V70" s="16" t="str">
        <f t="shared" si="20"/>
        <v/>
      </c>
      <c r="W70" s="16" t="str">
        <f>IF(E70="Y",PAR!$C$12,IF(J70="","",IF(J70&lt;11,PAR!$C$6,IF(J70&lt;50,PAR!$C$7,IF(J70&lt;60,PAR!$C$8,IF(J70&lt;70,PAR!$C$9,IF(J70&lt;80,PAR!$C$10,IF(J70&gt;79,PAR!$C$11,0))))))))</f>
        <v/>
      </c>
      <c r="X70" s="16" t="str">
        <f t="shared" si="6"/>
        <v/>
      </c>
      <c r="Y70" s="22" t="str">
        <f t="shared" si="7"/>
        <v/>
      </c>
      <c r="Z70" s="100" t="str">
        <f>IF(IFERROR(IF(E70="Y",(W70*(X70-PAR!$C$15)*Y70)*C70,IF(AA70&lt;&gt;"","See Comment",IFERROR(W70*X70*Y70*C70,"Fill all blue cells"))),"Fill all blue cells")&lt;0,0,(IFERROR(IF(E70="Y",(W70*(X70-PAR!$C$15)*Y70)*C70,IF(AA70&lt;&gt;"","See Comment",IFERROR(W70*X70*Y70*C70,"Fill all blue cells"))),"Fill all blue cells")))</f>
        <v>See Comment</v>
      </c>
      <c r="AA7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0" s="116" t="str">
        <f t="shared" si="14"/>
        <v/>
      </c>
      <c r="AC70" s="20" t="str">
        <f>IF(AND(E70="Y",D70&lt;PAR!C71),"Non bus miles are less than the minumum of 10 (see column D)",IF(AND(E70="Y",F70&lt;&gt;""),"Non Bus Miles",""))</f>
        <v/>
      </c>
      <c r="AD70" s="20" t="str">
        <f t="shared" si="15"/>
        <v/>
      </c>
      <c r="AE70" s="20" t="str">
        <f t="shared" si="8"/>
        <v>Fill Rated Capacity (see column J),</v>
      </c>
      <c r="AF70" s="20" t="str">
        <f t="shared" si="9"/>
        <v/>
      </c>
      <c r="AG70" s="20" t="str">
        <f t="shared" si="10"/>
        <v>Fill reimbursement % for this LE (see column C)</v>
      </c>
      <c r="AH70" s="20" t="str">
        <f t="shared" si="11"/>
        <v>This route has no eligible riders (see columns L:O)</v>
      </c>
      <c r="AI70" s="20" t="str">
        <f t="shared" si="12"/>
        <v>Fill miles per day (see column D)</v>
      </c>
      <c r="AJ70" s="20" t="str">
        <f t="shared" si="16"/>
        <v>Fill number of operating days (see column F)</v>
      </c>
      <c r="AK70" s="20" t="str">
        <f t="shared" si="17"/>
        <v>Fill Non-Bus Miles with Y or N (See column E)</v>
      </c>
      <c r="AL70" s="98" t="s">
        <v>422</v>
      </c>
      <c r="AM70" s="20" t="str">
        <f t="shared" si="18"/>
        <v/>
      </c>
    </row>
    <row r="71" spans="1:39" x14ac:dyDescent="0.75">
      <c r="A71" s="1" t="s">
        <v>156</v>
      </c>
      <c r="B71" s="131"/>
      <c r="C71" s="36"/>
      <c r="D71" s="42"/>
      <c r="E71" s="47"/>
      <c r="F71" s="44"/>
      <c r="G71" s="35"/>
      <c r="H71" s="18" t="s">
        <v>50</v>
      </c>
      <c r="I71" s="125"/>
      <c r="J71" s="35"/>
      <c r="K71" s="18" t="str">
        <f t="shared" si="22"/>
        <v/>
      </c>
      <c r="L71" s="38"/>
      <c r="M71" s="38"/>
      <c r="N71" s="38"/>
      <c r="O71" s="38"/>
      <c r="P71" s="18" t="str">
        <f t="shared" si="19"/>
        <v/>
      </c>
      <c r="Q71" s="38"/>
      <c r="R71" s="38"/>
      <c r="S71" s="38"/>
      <c r="T71" s="38"/>
      <c r="U71" s="18">
        <f t="shared" si="4"/>
        <v>0</v>
      </c>
      <c r="V71" s="18" t="str">
        <f t="shared" si="20"/>
        <v/>
      </c>
      <c r="W71" s="18" t="str">
        <f>IF(E71="Y",PAR!$C$12,IF(J71="","",IF(J71&lt;11,PAR!$C$6,IF(J71&lt;50,PAR!$C$7,IF(J71&lt;60,PAR!$C$8,IF(J71&lt;70,PAR!$C$9,IF(J71&lt;80,PAR!$C$10,IF(J71&gt;79,PAR!$C$11,0))))))))</f>
        <v/>
      </c>
      <c r="X71" s="18" t="str">
        <f t="shared" si="6"/>
        <v/>
      </c>
      <c r="Y71" s="21" t="str">
        <f t="shared" si="7"/>
        <v/>
      </c>
      <c r="Z71" s="100" t="str">
        <f>IF(IFERROR(IF(E71="Y",(W71*(X71-PAR!$C$15)*Y71)*C71,IF(AA71&lt;&gt;"","See Comment",IFERROR(W71*X71*Y71*C71,"Fill all blue cells"))),"Fill all blue cells")&lt;0,0,(IFERROR(IF(E71="Y",(W71*(X71-PAR!$C$15)*Y71)*C71,IF(AA71&lt;&gt;"","See Comment",IFERROR(W71*X71*Y71*C71,"Fill all blue cells"))),"Fill all blue cells")))</f>
        <v>See Comment</v>
      </c>
      <c r="AA7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1" s="116" t="str">
        <f t="shared" si="14"/>
        <v/>
      </c>
      <c r="AC71" s="20" t="str">
        <f>IF(AND(E71="Y",D71&lt;PAR!C72),"Non bus miles are less than the minumum of 10 (see column D)",IF(AND(E71="Y",F71&lt;&gt;""),"Non Bus Miles",""))</f>
        <v/>
      </c>
      <c r="AD71" s="20" t="str">
        <f t="shared" si="15"/>
        <v/>
      </c>
      <c r="AE71" s="20" t="str">
        <f t="shared" si="8"/>
        <v>Fill Rated Capacity (see column J),</v>
      </c>
      <c r="AF71" s="20" t="str">
        <f t="shared" si="9"/>
        <v/>
      </c>
      <c r="AG71" s="20" t="str">
        <f t="shared" si="10"/>
        <v>Fill reimbursement % for this LE (see column C)</v>
      </c>
      <c r="AH71" s="20" t="str">
        <f t="shared" si="11"/>
        <v>This route has no eligible riders (see columns L:O)</v>
      </c>
      <c r="AI71" s="20" t="str">
        <f t="shared" si="12"/>
        <v>Fill miles per day (see column D)</v>
      </c>
      <c r="AJ71" s="20" t="str">
        <f t="shared" si="16"/>
        <v>Fill number of operating days (see column F)</v>
      </c>
      <c r="AK71" s="20" t="str">
        <f t="shared" si="17"/>
        <v>Fill Non-Bus Miles with Y or N (See column E)</v>
      </c>
      <c r="AL71" s="98" t="s">
        <v>422</v>
      </c>
      <c r="AM71" s="20" t="str">
        <f t="shared" si="18"/>
        <v/>
      </c>
    </row>
    <row r="72" spans="1:39" x14ac:dyDescent="0.75">
      <c r="A72" s="1" t="s">
        <v>157</v>
      </c>
      <c r="B72" s="130"/>
      <c r="C72" s="33"/>
      <c r="D72" s="41"/>
      <c r="E72" s="48"/>
      <c r="F72" s="45"/>
      <c r="G72" s="32"/>
      <c r="H72" s="16" t="s">
        <v>50</v>
      </c>
      <c r="I72" s="126"/>
      <c r="J72" s="32"/>
      <c r="K72" s="16" t="str">
        <f t="shared" si="22"/>
        <v/>
      </c>
      <c r="L72" s="37"/>
      <c r="M72" s="37"/>
      <c r="N72" s="37"/>
      <c r="O72" s="37"/>
      <c r="P72" s="16" t="str">
        <f t="shared" si="19"/>
        <v/>
      </c>
      <c r="Q72" s="37"/>
      <c r="R72" s="37"/>
      <c r="S72" s="37"/>
      <c r="T72" s="37"/>
      <c r="U72" s="16">
        <f t="shared" si="4"/>
        <v>0</v>
      </c>
      <c r="V72" s="16" t="str">
        <f t="shared" si="20"/>
        <v/>
      </c>
      <c r="W72" s="16" t="str">
        <f>IF(E72="Y",PAR!$C$12,IF(J72="","",IF(J72&lt;11,PAR!$C$6,IF(J72&lt;50,PAR!$C$7,IF(J72&lt;60,PAR!$C$8,IF(J72&lt;70,PAR!$C$9,IF(J72&lt;80,PAR!$C$10,IF(J72&gt;79,PAR!$C$11,0))))))))</f>
        <v/>
      </c>
      <c r="X72" s="16" t="str">
        <f t="shared" si="6"/>
        <v/>
      </c>
      <c r="Y72" s="22" t="str">
        <f t="shared" si="7"/>
        <v/>
      </c>
      <c r="Z72" s="100" t="str">
        <f>IF(IFERROR(IF(E72="Y",(W72*(X72-PAR!$C$15)*Y72)*C72,IF(AA72&lt;&gt;"","See Comment",IFERROR(W72*X72*Y72*C72,"Fill all blue cells"))),"Fill all blue cells")&lt;0,0,(IFERROR(IF(E72="Y",(W72*(X72-PAR!$C$15)*Y72)*C72,IF(AA72&lt;&gt;"","See Comment",IFERROR(W72*X72*Y72*C72,"Fill all blue cells"))),"Fill all blue cells")))</f>
        <v>See Comment</v>
      </c>
      <c r="AA7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2" s="116" t="str">
        <f t="shared" si="14"/>
        <v/>
      </c>
      <c r="AC72" s="20" t="str">
        <f>IF(AND(E72="Y",D72&lt;PAR!C73),"Non bus miles are less than the minumum of 10 (see column D)",IF(AND(E72="Y",F72&lt;&gt;""),"Non Bus Miles",""))</f>
        <v/>
      </c>
      <c r="AD72" s="20" t="str">
        <f t="shared" si="15"/>
        <v/>
      </c>
      <c r="AE72" s="20" t="str">
        <f t="shared" si="8"/>
        <v>Fill Rated Capacity (see column J),</v>
      </c>
      <c r="AF72" s="20" t="str">
        <f t="shared" si="9"/>
        <v/>
      </c>
      <c r="AG72" s="20" t="str">
        <f t="shared" si="10"/>
        <v>Fill reimbursement % for this LE (see column C)</v>
      </c>
      <c r="AH72" s="20" t="str">
        <f t="shared" si="11"/>
        <v>This route has no eligible riders (see columns L:O)</v>
      </c>
      <c r="AI72" s="20" t="str">
        <f t="shared" si="12"/>
        <v>Fill miles per day (see column D)</v>
      </c>
      <c r="AJ72" s="20" t="str">
        <f t="shared" si="16"/>
        <v>Fill number of operating days (see column F)</v>
      </c>
      <c r="AK72" s="20" t="str">
        <f t="shared" si="17"/>
        <v>Fill Non-Bus Miles with Y or N (See column E)</v>
      </c>
      <c r="AL72" s="98" t="s">
        <v>422</v>
      </c>
      <c r="AM72" s="20" t="str">
        <f t="shared" si="18"/>
        <v/>
      </c>
    </row>
    <row r="73" spans="1:39" x14ac:dyDescent="0.75">
      <c r="A73" s="1" t="s">
        <v>158</v>
      </c>
      <c r="B73" s="131"/>
      <c r="C73" s="36"/>
      <c r="D73" s="42"/>
      <c r="E73" s="47"/>
      <c r="F73" s="44"/>
      <c r="G73" s="35"/>
      <c r="H73" s="18" t="s">
        <v>50</v>
      </c>
      <c r="I73" s="125"/>
      <c r="J73" s="35"/>
      <c r="K73" s="18" t="str">
        <f t="shared" si="22"/>
        <v/>
      </c>
      <c r="L73" s="38"/>
      <c r="M73" s="38"/>
      <c r="N73" s="38"/>
      <c r="O73" s="38"/>
      <c r="P73" s="18" t="str">
        <f t="shared" si="19"/>
        <v/>
      </c>
      <c r="Q73" s="38"/>
      <c r="R73" s="38"/>
      <c r="S73" s="38"/>
      <c r="T73" s="38"/>
      <c r="U73" s="18">
        <f t="shared" si="4"/>
        <v>0</v>
      </c>
      <c r="V73" s="18" t="str">
        <f t="shared" si="20"/>
        <v/>
      </c>
      <c r="W73" s="18" t="str">
        <f>IF(E73="Y",PAR!$C$12,IF(J73="","",IF(J73&lt;11,PAR!$C$6,IF(J73&lt;50,PAR!$C$7,IF(J73&lt;60,PAR!$C$8,IF(J73&lt;70,PAR!$C$9,IF(J73&lt;80,PAR!$C$10,IF(J73&gt;79,PAR!$C$11,0))))))))</f>
        <v/>
      </c>
      <c r="X73" s="18" t="str">
        <f t="shared" si="6"/>
        <v/>
      </c>
      <c r="Y73" s="21" t="str">
        <f t="shared" si="7"/>
        <v/>
      </c>
      <c r="Z73" s="100" t="str">
        <f>IF(IFERROR(IF(E73="Y",(W73*(X73-PAR!$C$15)*Y73)*C73,IF(AA73&lt;&gt;"","See Comment",IFERROR(W73*X73*Y73*C73,"Fill all blue cells"))),"Fill all blue cells")&lt;0,0,(IFERROR(IF(E73="Y",(W73*(X73-PAR!$C$15)*Y73)*C73,IF(AA73&lt;&gt;"","See Comment",IFERROR(W73*X73*Y73*C73,"Fill all blue cells"))),"Fill all blue cells")))</f>
        <v>See Comment</v>
      </c>
      <c r="AA7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3" s="116" t="str">
        <f t="shared" si="14"/>
        <v/>
      </c>
      <c r="AC73" s="20" t="str">
        <f>IF(AND(E73="Y",D73&lt;PAR!C74),"Non bus miles are less than the minumum of 10 (see column D)",IF(AND(E73="Y",F73&lt;&gt;""),"Non Bus Miles",""))</f>
        <v/>
      </c>
      <c r="AD73" s="20" t="str">
        <f t="shared" si="15"/>
        <v/>
      </c>
      <c r="AE73" s="20" t="str">
        <f t="shared" si="8"/>
        <v>Fill Rated Capacity (see column J),</v>
      </c>
      <c r="AF73" s="20" t="str">
        <f t="shared" si="9"/>
        <v/>
      </c>
      <c r="AG73" s="20" t="str">
        <f t="shared" si="10"/>
        <v>Fill reimbursement % for this LE (see column C)</v>
      </c>
      <c r="AH73" s="20" t="str">
        <f t="shared" si="11"/>
        <v>This route has no eligible riders (see columns L:O)</v>
      </c>
      <c r="AI73" s="20" t="str">
        <f t="shared" si="12"/>
        <v>Fill miles per day (see column D)</v>
      </c>
      <c r="AJ73" s="20" t="str">
        <f t="shared" si="16"/>
        <v>Fill number of operating days (see column F)</v>
      </c>
      <c r="AK73" s="20" t="str">
        <f t="shared" si="17"/>
        <v>Fill Non-Bus Miles with Y or N (See column E)</v>
      </c>
      <c r="AL73" s="98" t="s">
        <v>422</v>
      </c>
      <c r="AM73" s="20" t="str">
        <f t="shared" si="18"/>
        <v/>
      </c>
    </row>
    <row r="74" spans="1:39" x14ac:dyDescent="0.75">
      <c r="A74" s="1" t="s">
        <v>159</v>
      </c>
      <c r="B74" s="130"/>
      <c r="C74" s="33"/>
      <c r="D74" s="41"/>
      <c r="E74" s="48"/>
      <c r="F74" s="45"/>
      <c r="G74" s="32"/>
      <c r="H74" s="16" t="s">
        <v>50</v>
      </c>
      <c r="I74" s="126"/>
      <c r="J74" s="32"/>
      <c r="K74" s="16" t="str">
        <f t="shared" si="22"/>
        <v/>
      </c>
      <c r="L74" s="37"/>
      <c r="M74" s="37"/>
      <c r="N74" s="37"/>
      <c r="O74" s="37"/>
      <c r="P74" s="16" t="str">
        <f t="shared" si="19"/>
        <v/>
      </c>
      <c r="Q74" s="37"/>
      <c r="R74" s="37"/>
      <c r="S74" s="37"/>
      <c r="T74" s="37"/>
      <c r="U74" s="16">
        <f t="shared" si="4"/>
        <v>0</v>
      </c>
      <c r="V74" s="16" t="str">
        <f t="shared" si="20"/>
        <v/>
      </c>
      <c r="W74" s="16" t="str">
        <f>IF(E74="Y",PAR!$C$12,IF(J74="","",IF(J74&lt;11,PAR!$C$6,IF(J74&lt;50,PAR!$C$7,IF(J74&lt;60,PAR!$C$8,IF(J74&lt;70,PAR!$C$9,IF(J74&lt;80,PAR!$C$10,IF(J74&gt;79,PAR!$C$11,0))))))))</f>
        <v/>
      </c>
      <c r="X74" s="16" t="str">
        <f t="shared" si="6"/>
        <v/>
      </c>
      <c r="Y74" s="22" t="str">
        <f t="shared" si="7"/>
        <v/>
      </c>
      <c r="Z74" s="100" t="str">
        <f>IF(IFERROR(IF(E74="Y",(W74*(X74-PAR!$C$15)*Y74)*C74,IF(AA74&lt;&gt;"","See Comment",IFERROR(W74*X74*Y74*C74,"Fill all blue cells"))),"Fill all blue cells")&lt;0,0,(IFERROR(IF(E74="Y",(W74*(X74-PAR!$C$15)*Y74)*C74,IF(AA74&lt;&gt;"","See Comment",IFERROR(W74*X74*Y74*C74,"Fill all blue cells"))),"Fill all blue cells")))</f>
        <v>See Comment</v>
      </c>
      <c r="AA7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4" s="116" t="str">
        <f t="shared" si="14"/>
        <v/>
      </c>
      <c r="AC74" s="20" t="str">
        <f>IF(AND(E74="Y",D74&lt;PAR!C75),"Non bus miles are less than the minumum of 10 (see column D)",IF(AND(E74="Y",F74&lt;&gt;""),"Non Bus Miles",""))</f>
        <v/>
      </c>
      <c r="AD74" s="20" t="str">
        <f t="shared" si="15"/>
        <v/>
      </c>
      <c r="AE74" s="20" t="str">
        <f t="shared" si="8"/>
        <v>Fill Rated Capacity (see column J),</v>
      </c>
      <c r="AF74" s="20" t="str">
        <f t="shared" si="9"/>
        <v/>
      </c>
      <c r="AG74" s="20" t="str">
        <f t="shared" si="10"/>
        <v>Fill reimbursement % for this LE (see column C)</v>
      </c>
      <c r="AH74" s="20" t="str">
        <f t="shared" si="11"/>
        <v>This route has no eligible riders (see columns L:O)</v>
      </c>
      <c r="AI74" s="20" t="str">
        <f t="shared" si="12"/>
        <v>Fill miles per day (see column D)</v>
      </c>
      <c r="AJ74" s="20" t="str">
        <f t="shared" si="16"/>
        <v>Fill number of operating days (see column F)</v>
      </c>
      <c r="AK74" s="20" t="str">
        <f t="shared" si="17"/>
        <v>Fill Non-Bus Miles with Y or N (See column E)</v>
      </c>
      <c r="AL74" s="98" t="s">
        <v>422</v>
      </c>
      <c r="AM74" s="20" t="str">
        <f t="shared" si="18"/>
        <v/>
      </c>
    </row>
    <row r="75" spans="1:39" x14ac:dyDescent="0.75">
      <c r="A75" s="1" t="s">
        <v>160</v>
      </c>
      <c r="B75" s="131"/>
      <c r="C75" s="36"/>
      <c r="D75" s="42"/>
      <c r="E75" s="47"/>
      <c r="F75" s="44"/>
      <c r="G75" s="35"/>
      <c r="H75" s="18" t="s">
        <v>50</v>
      </c>
      <c r="I75" s="125"/>
      <c r="J75" s="35"/>
      <c r="K75" s="18" t="str">
        <f t="shared" si="22"/>
        <v/>
      </c>
      <c r="L75" s="38"/>
      <c r="M75" s="38"/>
      <c r="N75" s="38"/>
      <c r="O75" s="38"/>
      <c r="P75" s="18" t="str">
        <f t="shared" si="19"/>
        <v/>
      </c>
      <c r="Q75" s="38"/>
      <c r="R75" s="38"/>
      <c r="S75" s="38"/>
      <c r="T75" s="38"/>
      <c r="U75" s="18">
        <f t="shared" si="4"/>
        <v>0</v>
      </c>
      <c r="V75" s="18" t="str">
        <f t="shared" si="20"/>
        <v/>
      </c>
      <c r="W75" s="18" t="str">
        <f>IF(E75="Y",PAR!$C$12,IF(J75="","",IF(J75&lt;11,PAR!$C$6,IF(J75&lt;50,PAR!$C$7,IF(J75&lt;60,PAR!$C$8,IF(J75&lt;70,PAR!$C$9,IF(J75&lt;80,PAR!$C$10,IF(J75&gt;79,PAR!$C$11,0))))))))</f>
        <v/>
      </c>
      <c r="X75" s="18" t="str">
        <f t="shared" si="6"/>
        <v/>
      </c>
      <c r="Y75" s="21" t="str">
        <f t="shared" si="7"/>
        <v/>
      </c>
      <c r="Z75" s="100" t="str">
        <f>IF(IFERROR(IF(E75="Y",(W75*(X75-PAR!$C$15)*Y75)*C75,IF(AA75&lt;&gt;"","See Comment",IFERROR(W75*X75*Y75*C75,"Fill all blue cells"))),"Fill all blue cells")&lt;0,0,(IFERROR(IF(E75="Y",(W75*(X75-PAR!$C$15)*Y75)*C75,IF(AA75&lt;&gt;"","See Comment",IFERROR(W75*X75*Y75*C75,"Fill all blue cells"))),"Fill all blue cells")))</f>
        <v>See Comment</v>
      </c>
      <c r="AA7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5" s="116" t="str">
        <f t="shared" si="14"/>
        <v/>
      </c>
      <c r="AC75" s="20" t="str">
        <f>IF(AND(E75="Y",D75&lt;PAR!C76),"Non bus miles are less than the minumum of 10 (see column D)",IF(AND(E75="Y",F75&lt;&gt;""),"Non Bus Miles",""))</f>
        <v/>
      </c>
      <c r="AD75" s="20" t="str">
        <f t="shared" si="15"/>
        <v/>
      </c>
      <c r="AE75" s="20" t="str">
        <f t="shared" si="8"/>
        <v>Fill Rated Capacity (see column J),</v>
      </c>
      <c r="AF75" s="20" t="str">
        <f t="shared" si="9"/>
        <v/>
      </c>
      <c r="AG75" s="20" t="str">
        <f t="shared" si="10"/>
        <v>Fill reimbursement % for this LE (see column C)</v>
      </c>
      <c r="AH75" s="20" t="str">
        <f t="shared" si="11"/>
        <v>This route has no eligible riders (see columns L:O)</v>
      </c>
      <c r="AI75" s="20" t="str">
        <f t="shared" si="12"/>
        <v>Fill miles per day (see column D)</v>
      </c>
      <c r="AJ75" s="20" t="str">
        <f t="shared" si="16"/>
        <v>Fill number of operating days (see column F)</v>
      </c>
      <c r="AK75" s="20" t="str">
        <f t="shared" si="17"/>
        <v>Fill Non-Bus Miles with Y or N (See column E)</v>
      </c>
      <c r="AL75" s="98" t="s">
        <v>422</v>
      </c>
      <c r="AM75" s="20" t="str">
        <f t="shared" si="18"/>
        <v/>
      </c>
    </row>
    <row r="76" spans="1:39" x14ac:dyDescent="0.75">
      <c r="A76" s="1" t="s">
        <v>161</v>
      </c>
      <c r="B76" s="130"/>
      <c r="C76" s="33"/>
      <c r="D76" s="41"/>
      <c r="E76" s="48"/>
      <c r="F76" s="45"/>
      <c r="G76" s="32"/>
      <c r="H76" s="16" t="s">
        <v>50</v>
      </c>
      <c r="I76" s="126"/>
      <c r="J76" s="32"/>
      <c r="K76" s="16" t="str">
        <f t="shared" si="22"/>
        <v/>
      </c>
      <c r="L76" s="37"/>
      <c r="M76" s="37"/>
      <c r="N76" s="37"/>
      <c r="O76" s="37"/>
      <c r="P76" s="16" t="str">
        <f t="shared" si="19"/>
        <v/>
      </c>
      <c r="Q76" s="37"/>
      <c r="R76" s="37"/>
      <c r="S76" s="37"/>
      <c r="T76" s="37"/>
      <c r="U76" s="16">
        <f t="shared" si="4"/>
        <v>0</v>
      </c>
      <c r="V76" s="16" t="str">
        <f t="shared" si="20"/>
        <v/>
      </c>
      <c r="W76" s="16" t="str">
        <f>IF(E76="Y",PAR!$C$12,IF(J76="","",IF(J76&lt;11,PAR!$C$6,IF(J76&lt;50,PAR!$C$7,IF(J76&lt;60,PAR!$C$8,IF(J76&lt;70,PAR!$C$9,IF(J76&lt;80,PAR!$C$10,IF(J76&gt;79,PAR!$C$11,0))))))))</f>
        <v/>
      </c>
      <c r="X76" s="16" t="str">
        <f t="shared" si="6"/>
        <v/>
      </c>
      <c r="Y76" s="22" t="str">
        <f t="shared" si="7"/>
        <v/>
      </c>
      <c r="Z76" s="100" t="str">
        <f>IF(IFERROR(IF(E76="Y",(W76*(X76-PAR!$C$15)*Y76)*C76,IF(AA76&lt;&gt;"","See Comment",IFERROR(W76*X76*Y76*C76,"Fill all blue cells"))),"Fill all blue cells")&lt;0,0,(IFERROR(IF(E76="Y",(W76*(X76-PAR!$C$15)*Y76)*C76,IF(AA76&lt;&gt;"","See Comment",IFERROR(W76*X76*Y76*C76,"Fill all blue cells"))),"Fill all blue cells")))</f>
        <v>See Comment</v>
      </c>
      <c r="AA7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6" s="116" t="str">
        <f t="shared" si="14"/>
        <v/>
      </c>
      <c r="AC76" s="20" t="str">
        <f>IF(AND(E76="Y",D76&lt;PAR!C77),"Non bus miles are less than the minumum of 10 (see column D)",IF(AND(E76="Y",F76&lt;&gt;""),"Non Bus Miles",""))</f>
        <v/>
      </c>
      <c r="AD76" s="20" t="str">
        <f t="shared" si="15"/>
        <v/>
      </c>
      <c r="AE76" s="20" t="str">
        <f t="shared" si="8"/>
        <v>Fill Rated Capacity (see column J),</v>
      </c>
      <c r="AF76" s="20" t="str">
        <f t="shared" si="9"/>
        <v/>
      </c>
      <c r="AG76" s="20" t="str">
        <f t="shared" si="10"/>
        <v>Fill reimbursement % for this LE (see column C)</v>
      </c>
      <c r="AH76" s="20" t="str">
        <f t="shared" si="11"/>
        <v>This route has no eligible riders (see columns L:O)</v>
      </c>
      <c r="AI76" s="20" t="str">
        <f t="shared" si="12"/>
        <v>Fill miles per day (see column D)</v>
      </c>
      <c r="AJ76" s="20" t="str">
        <f t="shared" si="16"/>
        <v>Fill number of operating days (see column F)</v>
      </c>
      <c r="AK76" s="20" t="str">
        <f t="shared" si="17"/>
        <v>Fill Non-Bus Miles with Y or N (See column E)</v>
      </c>
      <c r="AL76" s="98" t="s">
        <v>422</v>
      </c>
      <c r="AM76" s="20" t="str">
        <f t="shared" si="18"/>
        <v/>
      </c>
    </row>
    <row r="77" spans="1:39" x14ac:dyDescent="0.75">
      <c r="A77" s="1" t="s">
        <v>162</v>
      </c>
      <c r="B77" s="131"/>
      <c r="C77" s="36"/>
      <c r="D77" s="42"/>
      <c r="E77" s="47"/>
      <c r="F77" s="44"/>
      <c r="G77" s="35"/>
      <c r="H77" s="18" t="s">
        <v>50</v>
      </c>
      <c r="I77" s="125"/>
      <c r="J77" s="35"/>
      <c r="K77" s="18" t="str">
        <f t="shared" si="22"/>
        <v/>
      </c>
      <c r="L77" s="38"/>
      <c r="M77" s="38"/>
      <c r="N77" s="38"/>
      <c r="O77" s="38"/>
      <c r="P77" s="18" t="str">
        <f t="shared" si="19"/>
        <v/>
      </c>
      <c r="Q77" s="38"/>
      <c r="R77" s="38"/>
      <c r="S77" s="38"/>
      <c r="T77" s="38"/>
      <c r="U77" s="18">
        <f t="shared" si="4"/>
        <v>0</v>
      </c>
      <c r="V77" s="18" t="str">
        <f t="shared" si="20"/>
        <v/>
      </c>
      <c r="W77" s="18" t="str">
        <f>IF(E77="Y",PAR!$C$12,IF(J77="","",IF(J77&lt;11,PAR!$C$6,IF(J77&lt;50,PAR!$C$7,IF(J77&lt;60,PAR!$C$8,IF(J77&lt;70,PAR!$C$9,IF(J77&lt;80,PAR!$C$10,IF(J77&gt;79,PAR!$C$11,0))))))))</f>
        <v/>
      </c>
      <c r="X77" s="18" t="str">
        <f t="shared" si="6"/>
        <v/>
      </c>
      <c r="Y77" s="21" t="str">
        <f t="shared" si="7"/>
        <v/>
      </c>
      <c r="Z77" s="100" t="str">
        <f>IF(IFERROR(IF(E77="Y",(W77*(X77-PAR!$C$15)*Y77)*C77,IF(AA77&lt;&gt;"","See Comment",IFERROR(W77*X77*Y77*C77,"Fill all blue cells"))),"Fill all blue cells")&lt;0,0,(IFERROR(IF(E77="Y",(W77*(X77-PAR!$C$15)*Y77)*C77,IF(AA77&lt;&gt;"","See Comment",IFERROR(W77*X77*Y77*C77,"Fill all blue cells"))),"Fill all blue cells")))</f>
        <v>See Comment</v>
      </c>
      <c r="AA7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7" s="116" t="str">
        <f t="shared" si="14"/>
        <v/>
      </c>
      <c r="AC77" s="20" t="str">
        <f>IF(AND(E77="Y",D77&lt;PAR!C78),"Non bus miles are less than the minumum of 10 (see column D)",IF(AND(E77="Y",F77&lt;&gt;""),"Non Bus Miles",""))</f>
        <v/>
      </c>
      <c r="AD77" s="20" t="str">
        <f t="shared" si="15"/>
        <v/>
      </c>
      <c r="AE77" s="20" t="str">
        <f t="shared" si="8"/>
        <v>Fill Rated Capacity (see column J),</v>
      </c>
      <c r="AF77" s="20" t="str">
        <f t="shared" si="9"/>
        <v/>
      </c>
      <c r="AG77" s="20" t="str">
        <f t="shared" si="10"/>
        <v>Fill reimbursement % for this LE (see column C)</v>
      </c>
      <c r="AH77" s="20" t="str">
        <f t="shared" si="11"/>
        <v>This route has no eligible riders (see columns L:O)</v>
      </c>
      <c r="AI77" s="20" t="str">
        <f t="shared" si="12"/>
        <v>Fill miles per day (see column D)</v>
      </c>
      <c r="AJ77" s="20" t="str">
        <f t="shared" si="16"/>
        <v>Fill number of operating days (see column F)</v>
      </c>
      <c r="AK77" s="20" t="str">
        <f t="shared" si="17"/>
        <v>Fill Non-Bus Miles with Y or N (See column E)</v>
      </c>
      <c r="AL77" s="98" t="s">
        <v>422</v>
      </c>
      <c r="AM77" s="20" t="str">
        <f t="shared" si="18"/>
        <v/>
      </c>
    </row>
    <row r="78" spans="1:39" x14ac:dyDescent="0.75">
      <c r="A78" s="1" t="s">
        <v>163</v>
      </c>
      <c r="B78" s="130"/>
      <c r="C78" s="33"/>
      <c r="D78" s="41"/>
      <c r="E78" s="48"/>
      <c r="F78" s="45"/>
      <c r="G78" s="32"/>
      <c r="H78" s="16" t="s">
        <v>50</v>
      </c>
      <c r="I78" s="126"/>
      <c r="J78" s="32"/>
      <c r="K78" s="16" t="str">
        <f t="shared" ref="K78:K141" si="23">IF(B78&lt;&gt;"",B78,"")</f>
        <v/>
      </c>
      <c r="L78" s="37"/>
      <c r="M78" s="37"/>
      <c r="N78" s="37"/>
      <c r="O78" s="37"/>
      <c r="P78" s="16" t="str">
        <f t="shared" si="19"/>
        <v/>
      </c>
      <c r="Q78" s="37"/>
      <c r="R78" s="37"/>
      <c r="S78" s="37"/>
      <c r="T78" s="37"/>
      <c r="U78" s="16">
        <f t="shared" ref="U78:U141" si="24">IFERROR(SUM(Q78:T78)+P78,0)</f>
        <v>0</v>
      </c>
      <c r="V78" s="16" t="str">
        <f t="shared" ref="V78:V141" si="25">IF(B78&lt;&gt;"",B78,"")</f>
        <v/>
      </c>
      <c r="W78" s="16" t="str">
        <f>IF(E78="Y",PAR!$C$12,IF(J78="","",IF(J78&lt;11,PAR!$C$6,IF(J78&lt;50,PAR!$C$7,IF(J78&lt;60,PAR!$C$8,IF(J78&lt;70,PAR!$C$9,IF(J78&lt;80,PAR!$C$10,IF(J78&gt;79,PAR!$C$11,0))))))))</f>
        <v/>
      </c>
      <c r="X78" s="16" t="str">
        <f t="shared" ref="X78:X141" si="26">IF(D78="","",D78)</f>
        <v/>
      </c>
      <c r="Y78" s="22" t="str">
        <f t="shared" ref="Y78:Y141" si="27">IF(F78="","",F78)</f>
        <v/>
      </c>
      <c r="Z78" s="100" t="str">
        <f>IF(IFERROR(IF(E78="Y",(W78*(X78-PAR!$C$15)*Y78)*C78,IF(AA78&lt;&gt;"","See Comment",IFERROR(W78*X78*Y78*C78,"Fill all blue cells"))),"Fill all blue cells")&lt;0,0,(IFERROR(IF(E78="Y",(W78*(X78-PAR!$C$15)*Y78)*C78,IF(AA78&lt;&gt;"","See Comment",IFERROR(W78*X78*Y78*C78,"Fill all blue cells"))),"Fill all blue cells")))</f>
        <v>See Comment</v>
      </c>
      <c r="AA7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8" s="116" t="str">
        <f t="shared" si="14"/>
        <v/>
      </c>
      <c r="AC78" s="20" t="str">
        <f>IF(AND(E78="Y",D78&lt;PAR!C79),"Non bus miles are less than the minumum of 10 (see column D)",IF(AND(E78="Y",F78&lt;&gt;""),"Non Bus Miles",""))</f>
        <v/>
      </c>
      <c r="AD78" s="20" t="str">
        <f t="shared" si="15"/>
        <v/>
      </c>
      <c r="AE78" s="20" t="str">
        <f t="shared" ref="AE78:AE141" si="28">IF(OR(J78="",J78=0),"Fill Rated Capacity (see column J),","")</f>
        <v>Fill Rated Capacity (see column J),</v>
      </c>
      <c r="AF78" s="20" t="str">
        <f t="shared" ref="AF78:AF141" si="29">IF(F78&gt;180,"Exceeds the 180 Day Operating Limit (See Column F),","")</f>
        <v/>
      </c>
      <c r="AG78" s="20" t="str">
        <f t="shared" ref="AG78:AG141" si="30">IF(C78="","Fill reimbursement % for this LE (see column C)","")</f>
        <v>Fill reimbursement % for this LE (see column C)</v>
      </c>
      <c r="AH78" s="20" t="str">
        <f t="shared" ref="AH78:AH141" si="31">IF(OR(P78="",P78=0),"This route has no eligible riders (see columns L:O)","")</f>
        <v>This route has no eligible riders (see columns L:O)</v>
      </c>
      <c r="AI78" s="20" t="str">
        <f t="shared" ref="AI78:AI141" si="32">IF(D78="","Fill miles per day (see column D)","")</f>
        <v>Fill miles per day (see column D)</v>
      </c>
      <c r="AJ78" s="20" t="str">
        <f t="shared" si="16"/>
        <v>Fill number of operating days (see column F)</v>
      </c>
      <c r="AK78" s="20" t="str">
        <f t="shared" si="17"/>
        <v>Fill Non-Bus Miles with Y or N (See column E)</v>
      </c>
      <c r="AL78" s="98" t="s">
        <v>422</v>
      </c>
      <c r="AM78" s="20" t="str">
        <f t="shared" si="18"/>
        <v/>
      </c>
    </row>
    <row r="79" spans="1:39" x14ac:dyDescent="0.75">
      <c r="A79" s="1" t="s">
        <v>164</v>
      </c>
      <c r="B79" s="131"/>
      <c r="C79" s="36"/>
      <c r="D79" s="42"/>
      <c r="E79" s="47"/>
      <c r="F79" s="44"/>
      <c r="G79" s="35"/>
      <c r="H79" s="18" t="s">
        <v>50</v>
      </c>
      <c r="I79" s="125"/>
      <c r="J79" s="35"/>
      <c r="K79" s="18" t="str">
        <f t="shared" si="23"/>
        <v/>
      </c>
      <c r="L79" s="38"/>
      <c r="M79" s="38"/>
      <c r="N79" s="38"/>
      <c r="O79" s="38"/>
      <c r="P79" s="18" t="str">
        <f t="shared" ref="P79:P142" si="33">IF(AND(L79="",M79="",N79="",O79=""),"",SUM(L79:O79))</f>
        <v/>
      </c>
      <c r="Q79" s="38"/>
      <c r="R79" s="38"/>
      <c r="S79" s="38"/>
      <c r="T79" s="38"/>
      <c r="U79" s="18">
        <f t="shared" si="24"/>
        <v>0</v>
      </c>
      <c r="V79" s="18" t="str">
        <f t="shared" si="25"/>
        <v/>
      </c>
      <c r="W79" s="18" t="str">
        <f>IF(E79="Y",PAR!$C$12,IF(J79="","",IF(J79&lt;11,PAR!$C$6,IF(J79&lt;50,PAR!$C$7,IF(J79&lt;60,PAR!$C$8,IF(J79&lt;70,PAR!$C$9,IF(J79&lt;80,PAR!$C$10,IF(J79&gt;79,PAR!$C$11,0))))))))</f>
        <v/>
      </c>
      <c r="X79" s="18" t="str">
        <f t="shared" si="26"/>
        <v/>
      </c>
      <c r="Y79" s="21" t="str">
        <f t="shared" si="27"/>
        <v/>
      </c>
      <c r="Z79" s="100" t="str">
        <f>IF(IFERROR(IF(E79="Y",(W79*(X79-PAR!$C$15)*Y79)*C79,IF(AA79&lt;&gt;"","See Comment",IFERROR(W79*X79*Y79*C79,"Fill all blue cells"))),"Fill all blue cells")&lt;0,0,(IFERROR(IF(E79="Y",(W79*(X79-PAR!$C$15)*Y79)*C79,IF(AA79&lt;&gt;"","See Comment",IFERROR(W79*X79*Y79*C79,"Fill all blue cells"))),"Fill all blue cells")))</f>
        <v>See Comment</v>
      </c>
      <c r="AA79" s="96" t="str">
        <f t="shared" ref="AA79:AA142" si="34">IF(AC79="Non Bus Miles","",IF(AND(AC79="",AD79="",AE79="",AF79="",AG79="",AH79="",AI79="",AJ79="",AK79=""),"",AC79&amp;" "&amp;AD79&amp;""&amp;AE79&amp;""&amp;AF79&amp;""&amp;""&amp;AG79&amp;""&amp;AH79&amp;""&amp;AI79&amp;""&amp;AJ79&amp;""&amp;AK79))</f>
        <v xml:space="preserve"> Fill Rated Capacity (see column J),Fill reimbursement % for this LE (see column C)This route has no eligible riders (see columns L:O)Fill miles per day (see column D)Fill number of operating days (see column F)Fill Non-Bus Miles with Y or N (See column E)</v>
      </c>
      <c r="AB79" s="116" t="str">
        <f t="shared" ref="AB79:AB142" si="35">AM79</f>
        <v/>
      </c>
      <c r="AC79" s="20" t="str">
        <f>IF(AND(E79="Y",D79&lt;PAR!C80),"Non bus miles are less than the minumum of 10 (see column D)",IF(AND(E79="Y",F79&lt;&gt;""),"Non Bus Miles",""))</f>
        <v/>
      </c>
      <c r="AD79" s="20" t="str">
        <f t="shared" ref="AD79:AD142" si="36">IF(AND(E79="N",U79&gt;J79),"Riders Exceed Capacity of Bus,","")</f>
        <v/>
      </c>
      <c r="AE79" s="20" t="str">
        <f t="shared" si="28"/>
        <v>Fill Rated Capacity (see column J),</v>
      </c>
      <c r="AF79" s="20" t="str">
        <f t="shared" si="29"/>
        <v/>
      </c>
      <c r="AG79" s="20" t="str">
        <f t="shared" si="30"/>
        <v>Fill reimbursement % for this LE (see column C)</v>
      </c>
      <c r="AH79" s="20" t="str">
        <f t="shared" si="31"/>
        <v>This route has no eligible riders (see columns L:O)</v>
      </c>
      <c r="AI79" s="20" t="str">
        <f t="shared" si="32"/>
        <v>Fill miles per day (see column D)</v>
      </c>
      <c r="AJ79" s="20" t="str">
        <f t="shared" ref="AJ79:AJ142" si="37">IF(F79="","Fill number of operating days (see column F)","")</f>
        <v>Fill number of operating days (see column F)</v>
      </c>
      <c r="AK79" s="20" t="str">
        <f t="shared" ref="AK79:AK142" si="38">IF(OR(E79="Y",E79="N"),"","Fill Non-Bus Miles with Y or N (See column E)")</f>
        <v>Fill Non-Bus Miles with Y or N (See column E)</v>
      </c>
      <c r="AL79" s="98" t="s">
        <v>422</v>
      </c>
      <c r="AM79" s="20" t="str">
        <f t="shared" ref="AM79:AM142" si="39">IF(AND(E79="N",J79&lt;11),"You have recorded this as a type E multipurpose vehicle","")</f>
        <v/>
      </c>
    </row>
    <row r="80" spans="1:39" x14ac:dyDescent="0.75">
      <c r="A80" s="1" t="s">
        <v>165</v>
      </c>
      <c r="B80" s="130"/>
      <c r="C80" s="33"/>
      <c r="D80" s="41"/>
      <c r="E80" s="48"/>
      <c r="F80" s="45"/>
      <c r="G80" s="32"/>
      <c r="H80" s="16" t="s">
        <v>50</v>
      </c>
      <c r="I80" s="126"/>
      <c r="J80" s="32"/>
      <c r="K80" s="16" t="str">
        <f t="shared" si="23"/>
        <v/>
      </c>
      <c r="L80" s="37"/>
      <c r="M80" s="37"/>
      <c r="N80" s="37"/>
      <c r="O80" s="37"/>
      <c r="P80" s="16" t="str">
        <f t="shared" si="33"/>
        <v/>
      </c>
      <c r="Q80" s="37"/>
      <c r="R80" s="37"/>
      <c r="S80" s="37"/>
      <c r="T80" s="37"/>
      <c r="U80" s="16">
        <f t="shared" si="24"/>
        <v>0</v>
      </c>
      <c r="V80" s="16" t="str">
        <f t="shared" si="25"/>
        <v/>
      </c>
      <c r="W80" s="16" t="str">
        <f>IF(E80="Y",PAR!$C$12,IF(J80="","",IF(J80&lt;11,PAR!$C$6,IF(J80&lt;50,PAR!$C$7,IF(J80&lt;60,PAR!$C$8,IF(J80&lt;70,PAR!$C$9,IF(J80&lt;80,PAR!$C$10,IF(J80&gt;79,PAR!$C$11,0))))))))</f>
        <v/>
      </c>
      <c r="X80" s="16" t="str">
        <f t="shared" si="26"/>
        <v/>
      </c>
      <c r="Y80" s="22" t="str">
        <f t="shared" si="27"/>
        <v/>
      </c>
      <c r="Z80" s="100" t="str">
        <f>IF(IFERROR(IF(E80="Y",(W80*(X80-PAR!$C$15)*Y80)*C80,IF(AA80&lt;&gt;"","See Comment",IFERROR(W80*X80*Y80*C80,"Fill all blue cells"))),"Fill all blue cells")&lt;0,0,(IFERROR(IF(E80="Y",(W80*(X80-PAR!$C$15)*Y80)*C80,IF(AA80&lt;&gt;"","See Comment",IFERROR(W80*X80*Y80*C80,"Fill all blue cells"))),"Fill all blue cells")))</f>
        <v>See Comment</v>
      </c>
      <c r="AA8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0" s="116" t="str">
        <f t="shared" si="35"/>
        <v/>
      </c>
      <c r="AC80" s="20" t="str">
        <f>IF(AND(E80="Y",D80&lt;PAR!C81),"Non bus miles are less than the minumum of 10 (see column D)",IF(AND(E80="Y",F80&lt;&gt;""),"Non Bus Miles",""))</f>
        <v/>
      </c>
      <c r="AD80" s="20" t="str">
        <f t="shared" si="36"/>
        <v/>
      </c>
      <c r="AE80" s="20" t="str">
        <f t="shared" si="28"/>
        <v>Fill Rated Capacity (see column J),</v>
      </c>
      <c r="AF80" s="20" t="str">
        <f t="shared" si="29"/>
        <v/>
      </c>
      <c r="AG80" s="20" t="str">
        <f t="shared" si="30"/>
        <v>Fill reimbursement % for this LE (see column C)</v>
      </c>
      <c r="AH80" s="20" t="str">
        <f t="shared" si="31"/>
        <v>This route has no eligible riders (see columns L:O)</v>
      </c>
      <c r="AI80" s="20" t="str">
        <f t="shared" si="32"/>
        <v>Fill miles per day (see column D)</v>
      </c>
      <c r="AJ80" s="20" t="str">
        <f t="shared" si="37"/>
        <v>Fill number of operating days (see column F)</v>
      </c>
      <c r="AK80" s="20" t="str">
        <f t="shared" si="38"/>
        <v>Fill Non-Bus Miles with Y or N (See column E)</v>
      </c>
      <c r="AL80" s="98" t="s">
        <v>422</v>
      </c>
      <c r="AM80" s="20" t="str">
        <f t="shared" si="39"/>
        <v/>
      </c>
    </row>
    <row r="81" spans="1:39" x14ac:dyDescent="0.75">
      <c r="A81" s="1" t="s">
        <v>166</v>
      </c>
      <c r="B81" s="131"/>
      <c r="C81" s="36"/>
      <c r="D81" s="42"/>
      <c r="E81" s="47"/>
      <c r="F81" s="44"/>
      <c r="G81" s="35"/>
      <c r="H81" s="18" t="s">
        <v>50</v>
      </c>
      <c r="I81" s="125"/>
      <c r="J81" s="35"/>
      <c r="K81" s="18" t="str">
        <f t="shared" si="23"/>
        <v/>
      </c>
      <c r="L81" s="38"/>
      <c r="M81" s="38"/>
      <c r="N81" s="38"/>
      <c r="O81" s="38"/>
      <c r="P81" s="18" t="str">
        <f t="shared" si="33"/>
        <v/>
      </c>
      <c r="Q81" s="38"/>
      <c r="R81" s="38"/>
      <c r="S81" s="38"/>
      <c r="T81" s="38"/>
      <c r="U81" s="18">
        <f t="shared" si="24"/>
        <v>0</v>
      </c>
      <c r="V81" s="18" t="str">
        <f t="shared" si="25"/>
        <v/>
      </c>
      <c r="W81" s="18" t="str">
        <f>IF(E81="Y",PAR!$C$12,IF(J81="","",IF(J81&lt;11,PAR!$C$6,IF(J81&lt;50,PAR!$C$7,IF(J81&lt;60,PAR!$C$8,IF(J81&lt;70,PAR!$C$9,IF(J81&lt;80,PAR!$C$10,IF(J81&gt;79,PAR!$C$11,0))))))))</f>
        <v/>
      </c>
      <c r="X81" s="18" t="str">
        <f t="shared" si="26"/>
        <v/>
      </c>
      <c r="Y81" s="21" t="str">
        <f t="shared" si="27"/>
        <v/>
      </c>
      <c r="Z81" s="100" t="str">
        <f>IF(IFERROR(IF(E81="Y",(W81*(X81-PAR!$C$15)*Y81)*C81,IF(AA81&lt;&gt;"","See Comment",IFERROR(W81*X81*Y81*C81,"Fill all blue cells"))),"Fill all blue cells")&lt;0,0,(IFERROR(IF(E81="Y",(W81*(X81-PAR!$C$15)*Y81)*C81,IF(AA81&lt;&gt;"","See Comment",IFERROR(W81*X81*Y81*C81,"Fill all blue cells"))),"Fill all blue cells")))</f>
        <v>See Comment</v>
      </c>
      <c r="AA8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1" s="116" t="str">
        <f t="shared" si="35"/>
        <v/>
      </c>
      <c r="AC81" s="20" t="str">
        <f>IF(AND(E81="Y",D81&lt;PAR!C82),"Non bus miles are less than the minumum of 10 (see column D)",IF(AND(E81="Y",F81&lt;&gt;""),"Non Bus Miles",""))</f>
        <v/>
      </c>
      <c r="AD81" s="20" t="str">
        <f t="shared" si="36"/>
        <v/>
      </c>
      <c r="AE81" s="20" t="str">
        <f t="shared" si="28"/>
        <v>Fill Rated Capacity (see column J),</v>
      </c>
      <c r="AF81" s="20" t="str">
        <f t="shared" si="29"/>
        <v/>
      </c>
      <c r="AG81" s="20" t="str">
        <f t="shared" si="30"/>
        <v>Fill reimbursement % for this LE (see column C)</v>
      </c>
      <c r="AH81" s="20" t="str">
        <f t="shared" si="31"/>
        <v>This route has no eligible riders (see columns L:O)</v>
      </c>
      <c r="AI81" s="20" t="str">
        <f t="shared" si="32"/>
        <v>Fill miles per day (see column D)</v>
      </c>
      <c r="AJ81" s="20" t="str">
        <f t="shared" si="37"/>
        <v>Fill number of operating days (see column F)</v>
      </c>
      <c r="AK81" s="20" t="str">
        <f t="shared" si="38"/>
        <v>Fill Non-Bus Miles with Y or N (See column E)</v>
      </c>
      <c r="AL81" s="98" t="s">
        <v>422</v>
      </c>
      <c r="AM81" s="20" t="str">
        <f t="shared" si="39"/>
        <v/>
      </c>
    </row>
    <row r="82" spans="1:39" x14ac:dyDescent="0.75">
      <c r="A82" s="1" t="s">
        <v>167</v>
      </c>
      <c r="B82" s="130"/>
      <c r="C82" s="33"/>
      <c r="D82" s="41"/>
      <c r="E82" s="48"/>
      <c r="F82" s="45"/>
      <c r="G82" s="32"/>
      <c r="H82" s="16" t="s">
        <v>50</v>
      </c>
      <c r="I82" s="126"/>
      <c r="J82" s="32"/>
      <c r="K82" s="16" t="str">
        <f t="shared" si="23"/>
        <v/>
      </c>
      <c r="L82" s="37"/>
      <c r="M82" s="37"/>
      <c r="N82" s="37"/>
      <c r="O82" s="37"/>
      <c r="P82" s="16" t="str">
        <f t="shared" si="33"/>
        <v/>
      </c>
      <c r="Q82" s="37"/>
      <c r="R82" s="37"/>
      <c r="S82" s="37"/>
      <c r="T82" s="37"/>
      <c r="U82" s="16">
        <f t="shared" si="24"/>
        <v>0</v>
      </c>
      <c r="V82" s="16" t="str">
        <f t="shared" si="25"/>
        <v/>
      </c>
      <c r="W82" s="16" t="str">
        <f>IF(E82="Y",PAR!$C$12,IF(J82="","",IF(J82&lt;11,PAR!$C$6,IF(J82&lt;50,PAR!$C$7,IF(J82&lt;60,PAR!$C$8,IF(J82&lt;70,PAR!$C$9,IF(J82&lt;80,PAR!$C$10,IF(J82&gt;79,PAR!$C$11,0))))))))</f>
        <v/>
      </c>
      <c r="X82" s="16" t="str">
        <f t="shared" si="26"/>
        <v/>
      </c>
      <c r="Y82" s="22" t="str">
        <f t="shared" si="27"/>
        <v/>
      </c>
      <c r="Z82" s="100" t="str">
        <f>IF(IFERROR(IF(E82="Y",(W82*(X82-PAR!$C$15)*Y82)*C82,IF(AA82&lt;&gt;"","See Comment",IFERROR(W82*X82*Y82*C82,"Fill all blue cells"))),"Fill all blue cells")&lt;0,0,(IFERROR(IF(E82="Y",(W82*(X82-PAR!$C$15)*Y82)*C82,IF(AA82&lt;&gt;"","See Comment",IFERROR(W82*X82*Y82*C82,"Fill all blue cells"))),"Fill all blue cells")))</f>
        <v>See Comment</v>
      </c>
      <c r="AA8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2" s="116" t="str">
        <f t="shared" si="35"/>
        <v/>
      </c>
      <c r="AC82" s="20" t="str">
        <f>IF(AND(E82="Y",D82&lt;PAR!C83),"Non bus miles are less than the minumum of 10 (see column D)",IF(AND(E82="Y",F82&lt;&gt;""),"Non Bus Miles",""))</f>
        <v/>
      </c>
      <c r="AD82" s="20" t="str">
        <f t="shared" si="36"/>
        <v/>
      </c>
      <c r="AE82" s="20" t="str">
        <f t="shared" si="28"/>
        <v>Fill Rated Capacity (see column J),</v>
      </c>
      <c r="AF82" s="20" t="str">
        <f t="shared" si="29"/>
        <v/>
      </c>
      <c r="AG82" s="20" t="str">
        <f t="shared" si="30"/>
        <v>Fill reimbursement % for this LE (see column C)</v>
      </c>
      <c r="AH82" s="20" t="str">
        <f t="shared" si="31"/>
        <v>This route has no eligible riders (see columns L:O)</v>
      </c>
      <c r="AI82" s="20" t="str">
        <f t="shared" si="32"/>
        <v>Fill miles per day (see column D)</v>
      </c>
      <c r="AJ82" s="20" t="str">
        <f t="shared" si="37"/>
        <v>Fill number of operating days (see column F)</v>
      </c>
      <c r="AK82" s="20" t="str">
        <f t="shared" si="38"/>
        <v>Fill Non-Bus Miles with Y or N (See column E)</v>
      </c>
      <c r="AL82" s="98" t="s">
        <v>422</v>
      </c>
      <c r="AM82" s="20" t="str">
        <f t="shared" si="39"/>
        <v/>
      </c>
    </row>
    <row r="83" spans="1:39" x14ac:dyDescent="0.75">
      <c r="A83" s="1" t="s">
        <v>168</v>
      </c>
      <c r="B83" s="131"/>
      <c r="C83" s="36"/>
      <c r="D83" s="42"/>
      <c r="E83" s="47"/>
      <c r="F83" s="44"/>
      <c r="G83" s="35"/>
      <c r="H83" s="18" t="s">
        <v>50</v>
      </c>
      <c r="I83" s="125"/>
      <c r="J83" s="35"/>
      <c r="K83" s="18" t="str">
        <f t="shared" si="23"/>
        <v/>
      </c>
      <c r="L83" s="38"/>
      <c r="M83" s="38"/>
      <c r="N83" s="38"/>
      <c r="O83" s="38"/>
      <c r="P83" s="18" t="str">
        <f t="shared" si="33"/>
        <v/>
      </c>
      <c r="Q83" s="38"/>
      <c r="R83" s="38"/>
      <c r="S83" s="38"/>
      <c r="T83" s="38"/>
      <c r="U83" s="18">
        <f t="shared" si="24"/>
        <v>0</v>
      </c>
      <c r="V83" s="18" t="str">
        <f t="shared" si="25"/>
        <v/>
      </c>
      <c r="W83" s="18" t="str">
        <f>IF(E83="Y",PAR!$C$12,IF(J83="","",IF(J83&lt;11,PAR!$C$6,IF(J83&lt;50,PAR!$C$7,IF(J83&lt;60,PAR!$C$8,IF(J83&lt;70,PAR!$C$9,IF(J83&lt;80,PAR!$C$10,IF(J83&gt;79,PAR!$C$11,0))))))))</f>
        <v/>
      </c>
      <c r="X83" s="18" t="str">
        <f t="shared" si="26"/>
        <v/>
      </c>
      <c r="Y83" s="21" t="str">
        <f t="shared" si="27"/>
        <v/>
      </c>
      <c r="Z83" s="100" t="str">
        <f>IF(IFERROR(IF(E83="Y",(W83*(X83-PAR!$C$15)*Y83)*C83,IF(AA83&lt;&gt;"","See Comment",IFERROR(W83*X83*Y83*C83,"Fill all blue cells"))),"Fill all blue cells")&lt;0,0,(IFERROR(IF(E83="Y",(W83*(X83-PAR!$C$15)*Y83)*C83,IF(AA83&lt;&gt;"","See Comment",IFERROR(W83*X83*Y83*C83,"Fill all blue cells"))),"Fill all blue cells")))</f>
        <v>See Comment</v>
      </c>
      <c r="AA8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3" s="116" t="str">
        <f t="shared" si="35"/>
        <v/>
      </c>
      <c r="AC83" s="20" t="str">
        <f>IF(AND(E83="Y",D83&lt;PAR!C84),"Non bus miles are less than the minumum of 10 (see column D)",IF(AND(E83="Y",F83&lt;&gt;""),"Non Bus Miles",""))</f>
        <v/>
      </c>
      <c r="AD83" s="20" t="str">
        <f t="shared" si="36"/>
        <v/>
      </c>
      <c r="AE83" s="20" t="str">
        <f t="shared" si="28"/>
        <v>Fill Rated Capacity (see column J),</v>
      </c>
      <c r="AF83" s="20" t="str">
        <f t="shared" si="29"/>
        <v/>
      </c>
      <c r="AG83" s="20" t="str">
        <f t="shared" si="30"/>
        <v>Fill reimbursement % for this LE (see column C)</v>
      </c>
      <c r="AH83" s="20" t="str">
        <f t="shared" si="31"/>
        <v>This route has no eligible riders (see columns L:O)</v>
      </c>
      <c r="AI83" s="20" t="str">
        <f t="shared" si="32"/>
        <v>Fill miles per day (see column D)</v>
      </c>
      <c r="AJ83" s="20" t="str">
        <f t="shared" si="37"/>
        <v>Fill number of operating days (see column F)</v>
      </c>
      <c r="AK83" s="20" t="str">
        <f t="shared" si="38"/>
        <v>Fill Non-Bus Miles with Y or N (See column E)</v>
      </c>
      <c r="AL83" s="98" t="s">
        <v>422</v>
      </c>
      <c r="AM83" s="20" t="str">
        <f t="shared" si="39"/>
        <v/>
      </c>
    </row>
    <row r="84" spans="1:39" x14ac:dyDescent="0.75">
      <c r="A84" s="1" t="s">
        <v>169</v>
      </c>
      <c r="B84" s="130"/>
      <c r="C84" s="33"/>
      <c r="D84" s="41"/>
      <c r="E84" s="48"/>
      <c r="F84" s="45"/>
      <c r="G84" s="32"/>
      <c r="H84" s="16" t="s">
        <v>50</v>
      </c>
      <c r="I84" s="126"/>
      <c r="J84" s="32"/>
      <c r="K84" s="16" t="str">
        <f t="shared" si="23"/>
        <v/>
      </c>
      <c r="L84" s="37"/>
      <c r="M84" s="37"/>
      <c r="N84" s="37"/>
      <c r="O84" s="37"/>
      <c r="P84" s="16" t="str">
        <f t="shared" si="33"/>
        <v/>
      </c>
      <c r="Q84" s="37"/>
      <c r="R84" s="37"/>
      <c r="S84" s="37"/>
      <c r="T84" s="37"/>
      <c r="U84" s="16">
        <f t="shared" si="24"/>
        <v>0</v>
      </c>
      <c r="V84" s="16" t="str">
        <f t="shared" si="25"/>
        <v/>
      </c>
      <c r="W84" s="16" t="str">
        <f>IF(E84="Y",PAR!$C$12,IF(J84="","",IF(J84&lt;11,PAR!$C$6,IF(J84&lt;50,PAR!$C$7,IF(J84&lt;60,PAR!$C$8,IF(J84&lt;70,PAR!$C$9,IF(J84&lt;80,PAR!$C$10,IF(J84&gt;79,PAR!$C$11,0))))))))</f>
        <v/>
      </c>
      <c r="X84" s="16" t="str">
        <f t="shared" si="26"/>
        <v/>
      </c>
      <c r="Y84" s="22" t="str">
        <f t="shared" si="27"/>
        <v/>
      </c>
      <c r="Z84" s="100" t="str">
        <f>IF(IFERROR(IF(E84="Y",(W84*(X84-PAR!$C$15)*Y84)*C84,IF(AA84&lt;&gt;"","See Comment",IFERROR(W84*X84*Y84*C84,"Fill all blue cells"))),"Fill all blue cells")&lt;0,0,(IFERROR(IF(E84="Y",(W84*(X84-PAR!$C$15)*Y84)*C84,IF(AA84&lt;&gt;"","See Comment",IFERROR(W84*X84*Y84*C84,"Fill all blue cells"))),"Fill all blue cells")))</f>
        <v>See Comment</v>
      </c>
      <c r="AA8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4" s="116" t="str">
        <f t="shared" si="35"/>
        <v/>
      </c>
      <c r="AC84" s="20" t="str">
        <f>IF(AND(E84="Y",D84&lt;PAR!C85),"Non bus miles are less than the minumum of 10 (see column D)",IF(AND(E84="Y",F84&lt;&gt;""),"Non Bus Miles",""))</f>
        <v/>
      </c>
      <c r="AD84" s="20" t="str">
        <f t="shared" si="36"/>
        <v/>
      </c>
      <c r="AE84" s="20" t="str">
        <f t="shared" si="28"/>
        <v>Fill Rated Capacity (see column J),</v>
      </c>
      <c r="AF84" s="20" t="str">
        <f t="shared" si="29"/>
        <v/>
      </c>
      <c r="AG84" s="20" t="str">
        <f t="shared" si="30"/>
        <v>Fill reimbursement % for this LE (see column C)</v>
      </c>
      <c r="AH84" s="20" t="str">
        <f t="shared" si="31"/>
        <v>This route has no eligible riders (see columns L:O)</v>
      </c>
      <c r="AI84" s="20" t="str">
        <f t="shared" si="32"/>
        <v>Fill miles per day (see column D)</v>
      </c>
      <c r="AJ84" s="20" t="str">
        <f t="shared" si="37"/>
        <v>Fill number of operating days (see column F)</v>
      </c>
      <c r="AK84" s="20" t="str">
        <f t="shared" si="38"/>
        <v>Fill Non-Bus Miles with Y or N (See column E)</v>
      </c>
      <c r="AL84" s="98" t="s">
        <v>422</v>
      </c>
      <c r="AM84" s="20" t="str">
        <f t="shared" si="39"/>
        <v/>
      </c>
    </row>
    <row r="85" spans="1:39" x14ac:dyDescent="0.75">
      <c r="A85" s="1" t="s">
        <v>170</v>
      </c>
      <c r="B85" s="131"/>
      <c r="C85" s="36"/>
      <c r="D85" s="42"/>
      <c r="E85" s="47"/>
      <c r="F85" s="44"/>
      <c r="G85" s="35"/>
      <c r="H85" s="18" t="s">
        <v>50</v>
      </c>
      <c r="I85" s="125"/>
      <c r="J85" s="35"/>
      <c r="K85" s="18" t="str">
        <f t="shared" si="23"/>
        <v/>
      </c>
      <c r="L85" s="38"/>
      <c r="M85" s="38"/>
      <c r="N85" s="38"/>
      <c r="O85" s="38"/>
      <c r="P85" s="18" t="str">
        <f t="shared" si="33"/>
        <v/>
      </c>
      <c r="Q85" s="38"/>
      <c r="R85" s="38"/>
      <c r="S85" s="38"/>
      <c r="T85" s="38"/>
      <c r="U85" s="18">
        <f t="shared" si="24"/>
        <v>0</v>
      </c>
      <c r="V85" s="18" t="str">
        <f t="shared" si="25"/>
        <v/>
      </c>
      <c r="W85" s="18" t="str">
        <f>IF(E85="Y",PAR!$C$12,IF(J85="","",IF(J85&lt;11,PAR!$C$6,IF(J85&lt;50,PAR!$C$7,IF(J85&lt;60,PAR!$C$8,IF(J85&lt;70,PAR!$C$9,IF(J85&lt;80,PAR!$C$10,IF(J85&gt;79,PAR!$C$11,0))))))))</f>
        <v/>
      </c>
      <c r="X85" s="18" t="str">
        <f t="shared" si="26"/>
        <v/>
      </c>
      <c r="Y85" s="21" t="str">
        <f t="shared" si="27"/>
        <v/>
      </c>
      <c r="Z85" s="100" t="str">
        <f>IF(IFERROR(IF(E85="Y",(W85*(X85-PAR!$C$15)*Y85)*C85,IF(AA85&lt;&gt;"","See Comment",IFERROR(W85*X85*Y85*C85,"Fill all blue cells"))),"Fill all blue cells")&lt;0,0,(IFERROR(IF(E85="Y",(W85*(X85-PAR!$C$15)*Y85)*C85,IF(AA85&lt;&gt;"","See Comment",IFERROR(W85*X85*Y85*C85,"Fill all blue cells"))),"Fill all blue cells")))</f>
        <v>See Comment</v>
      </c>
      <c r="AA8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5" s="116" t="str">
        <f t="shared" si="35"/>
        <v/>
      </c>
      <c r="AC85" s="20" t="str">
        <f>IF(AND(E85="Y",D85&lt;PAR!C86),"Non bus miles are less than the minumum of 10 (see column D)",IF(AND(E85="Y",F85&lt;&gt;""),"Non Bus Miles",""))</f>
        <v/>
      </c>
      <c r="AD85" s="20" t="str">
        <f t="shared" si="36"/>
        <v/>
      </c>
      <c r="AE85" s="20" t="str">
        <f t="shared" si="28"/>
        <v>Fill Rated Capacity (see column J),</v>
      </c>
      <c r="AF85" s="20" t="str">
        <f t="shared" si="29"/>
        <v/>
      </c>
      <c r="AG85" s="20" t="str">
        <f t="shared" si="30"/>
        <v>Fill reimbursement % for this LE (see column C)</v>
      </c>
      <c r="AH85" s="20" t="str">
        <f t="shared" si="31"/>
        <v>This route has no eligible riders (see columns L:O)</v>
      </c>
      <c r="AI85" s="20" t="str">
        <f t="shared" si="32"/>
        <v>Fill miles per day (see column D)</v>
      </c>
      <c r="AJ85" s="20" t="str">
        <f t="shared" si="37"/>
        <v>Fill number of operating days (see column F)</v>
      </c>
      <c r="AK85" s="20" t="str">
        <f t="shared" si="38"/>
        <v>Fill Non-Bus Miles with Y or N (See column E)</v>
      </c>
      <c r="AL85" s="98" t="s">
        <v>422</v>
      </c>
      <c r="AM85" s="20" t="str">
        <f t="shared" si="39"/>
        <v/>
      </c>
    </row>
    <row r="86" spans="1:39" x14ac:dyDescent="0.75">
      <c r="A86" s="1" t="s">
        <v>171</v>
      </c>
      <c r="B86" s="130"/>
      <c r="C86" s="33"/>
      <c r="D86" s="41"/>
      <c r="E86" s="48"/>
      <c r="F86" s="45"/>
      <c r="G86" s="32"/>
      <c r="H86" s="16" t="s">
        <v>50</v>
      </c>
      <c r="I86" s="126"/>
      <c r="J86" s="32"/>
      <c r="K86" s="16" t="str">
        <f t="shared" si="23"/>
        <v/>
      </c>
      <c r="L86" s="37"/>
      <c r="M86" s="37"/>
      <c r="N86" s="37"/>
      <c r="O86" s="37"/>
      <c r="P86" s="16" t="str">
        <f t="shared" si="33"/>
        <v/>
      </c>
      <c r="Q86" s="37"/>
      <c r="R86" s="37"/>
      <c r="S86" s="37"/>
      <c r="T86" s="37"/>
      <c r="U86" s="16">
        <f t="shared" si="24"/>
        <v>0</v>
      </c>
      <c r="V86" s="16" t="str">
        <f t="shared" si="25"/>
        <v/>
      </c>
      <c r="W86" s="16" t="str">
        <f>IF(E86="Y",PAR!$C$12,IF(J86="","",IF(J86&lt;11,PAR!$C$6,IF(J86&lt;50,PAR!$C$7,IF(J86&lt;60,PAR!$C$8,IF(J86&lt;70,PAR!$C$9,IF(J86&lt;80,PAR!$C$10,IF(J86&gt;79,PAR!$C$11,0))))))))</f>
        <v/>
      </c>
      <c r="X86" s="16" t="str">
        <f t="shared" si="26"/>
        <v/>
      </c>
      <c r="Y86" s="22" t="str">
        <f t="shared" si="27"/>
        <v/>
      </c>
      <c r="Z86" s="100" t="str">
        <f>IF(IFERROR(IF(E86="Y",(W86*(X86-PAR!$C$15)*Y86)*C86,IF(AA86&lt;&gt;"","See Comment",IFERROR(W86*X86*Y86*C86,"Fill all blue cells"))),"Fill all blue cells")&lt;0,0,(IFERROR(IF(E86="Y",(W86*(X86-PAR!$C$15)*Y86)*C86,IF(AA86&lt;&gt;"","See Comment",IFERROR(W86*X86*Y86*C86,"Fill all blue cells"))),"Fill all blue cells")))</f>
        <v>See Comment</v>
      </c>
      <c r="AA8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6" s="116" t="str">
        <f t="shared" si="35"/>
        <v/>
      </c>
      <c r="AC86" s="20" t="str">
        <f>IF(AND(E86="Y",D86&lt;PAR!C87),"Non bus miles are less than the minumum of 10 (see column D)",IF(AND(E86="Y",F86&lt;&gt;""),"Non Bus Miles",""))</f>
        <v/>
      </c>
      <c r="AD86" s="20" t="str">
        <f t="shared" si="36"/>
        <v/>
      </c>
      <c r="AE86" s="20" t="str">
        <f t="shared" si="28"/>
        <v>Fill Rated Capacity (see column J),</v>
      </c>
      <c r="AF86" s="20" t="str">
        <f t="shared" si="29"/>
        <v/>
      </c>
      <c r="AG86" s="20" t="str">
        <f t="shared" si="30"/>
        <v>Fill reimbursement % for this LE (see column C)</v>
      </c>
      <c r="AH86" s="20" t="str">
        <f t="shared" si="31"/>
        <v>This route has no eligible riders (see columns L:O)</v>
      </c>
      <c r="AI86" s="20" t="str">
        <f t="shared" si="32"/>
        <v>Fill miles per day (see column D)</v>
      </c>
      <c r="AJ86" s="20" t="str">
        <f t="shared" si="37"/>
        <v>Fill number of operating days (see column F)</v>
      </c>
      <c r="AK86" s="20" t="str">
        <f t="shared" si="38"/>
        <v>Fill Non-Bus Miles with Y or N (See column E)</v>
      </c>
      <c r="AL86" s="98" t="s">
        <v>422</v>
      </c>
      <c r="AM86" s="20" t="str">
        <f t="shared" si="39"/>
        <v/>
      </c>
    </row>
    <row r="87" spans="1:39" x14ac:dyDescent="0.75">
      <c r="A87" s="1" t="s">
        <v>172</v>
      </c>
      <c r="B87" s="131"/>
      <c r="C87" s="36"/>
      <c r="D87" s="42"/>
      <c r="E87" s="47"/>
      <c r="F87" s="44"/>
      <c r="G87" s="35"/>
      <c r="H87" s="18" t="s">
        <v>50</v>
      </c>
      <c r="I87" s="125"/>
      <c r="J87" s="35"/>
      <c r="K87" s="18" t="str">
        <f t="shared" si="23"/>
        <v/>
      </c>
      <c r="L87" s="38"/>
      <c r="M87" s="38"/>
      <c r="N87" s="38"/>
      <c r="O87" s="38"/>
      <c r="P87" s="18" t="str">
        <f t="shared" si="33"/>
        <v/>
      </c>
      <c r="Q87" s="38"/>
      <c r="R87" s="38"/>
      <c r="S87" s="38"/>
      <c r="T87" s="38"/>
      <c r="U87" s="18">
        <f t="shared" si="24"/>
        <v>0</v>
      </c>
      <c r="V87" s="18" t="str">
        <f t="shared" si="25"/>
        <v/>
      </c>
      <c r="W87" s="18" t="str">
        <f>IF(E87="Y",PAR!$C$12,IF(J87="","",IF(J87&lt;11,PAR!$C$6,IF(J87&lt;50,PAR!$C$7,IF(J87&lt;60,PAR!$C$8,IF(J87&lt;70,PAR!$C$9,IF(J87&lt;80,PAR!$C$10,IF(J87&gt;79,PAR!$C$11,0))))))))</f>
        <v/>
      </c>
      <c r="X87" s="18" t="str">
        <f t="shared" si="26"/>
        <v/>
      </c>
      <c r="Y87" s="21" t="str">
        <f t="shared" si="27"/>
        <v/>
      </c>
      <c r="Z87" s="100" t="str">
        <f>IF(IFERROR(IF(E87="Y",(W87*(X87-PAR!$C$15)*Y87)*C87,IF(AA87&lt;&gt;"","See Comment",IFERROR(W87*X87*Y87*C87,"Fill all blue cells"))),"Fill all blue cells")&lt;0,0,(IFERROR(IF(E87="Y",(W87*(X87-PAR!$C$15)*Y87)*C87,IF(AA87&lt;&gt;"","See Comment",IFERROR(W87*X87*Y87*C87,"Fill all blue cells"))),"Fill all blue cells")))</f>
        <v>See Comment</v>
      </c>
      <c r="AA8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7" s="116" t="str">
        <f t="shared" si="35"/>
        <v/>
      </c>
      <c r="AC87" s="20" t="str">
        <f>IF(AND(E87="Y",D87&lt;PAR!C88),"Non bus miles are less than the minumum of 10 (see column D)",IF(AND(E87="Y",F87&lt;&gt;""),"Non Bus Miles",""))</f>
        <v/>
      </c>
      <c r="AD87" s="20" t="str">
        <f t="shared" si="36"/>
        <v/>
      </c>
      <c r="AE87" s="20" t="str">
        <f t="shared" si="28"/>
        <v>Fill Rated Capacity (see column J),</v>
      </c>
      <c r="AF87" s="20" t="str">
        <f t="shared" si="29"/>
        <v/>
      </c>
      <c r="AG87" s="20" t="str">
        <f t="shared" si="30"/>
        <v>Fill reimbursement % for this LE (see column C)</v>
      </c>
      <c r="AH87" s="20" t="str">
        <f t="shared" si="31"/>
        <v>This route has no eligible riders (see columns L:O)</v>
      </c>
      <c r="AI87" s="20" t="str">
        <f t="shared" si="32"/>
        <v>Fill miles per day (see column D)</v>
      </c>
      <c r="AJ87" s="20" t="str">
        <f t="shared" si="37"/>
        <v>Fill number of operating days (see column F)</v>
      </c>
      <c r="AK87" s="20" t="str">
        <f t="shared" si="38"/>
        <v>Fill Non-Bus Miles with Y or N (See column E)</v>
      </c>
      <c r="AL87" s="98" t="s">
        <v>422</v>
      </c>
      <c r="AM87" s="20" t="str">
        <f t="shared" si="39"/>
        <v/>
      </c>
    </row>
    <row r="88" spans="1:39" x14ac:dyDescent="0.75">
      <c r="A88" s="1" t="s">
        <v>173</v>
      </c>
      <c r="B88" s="130"/>
      <c r="C88" s="33"/>
      <c r="D88" s="41"/>
      <c r="E88" s="48"/>
      <c r="F88" s="45"/>
      <c r="G88" s="32"/>
      <c r="H88" s="16" t="s">
        <v>50</v>
      </c>
      <c r="I88" s="126"/>
      <c r="J88" s="32"/>
      <c r="K88" s="16" t="str">
        <f t="shared" si="23"/>
        <v/>
      </c>
      <c r="L88" s="37"/>
      <c r="M88" s="37"/>
      <c r="N88" s="37"/>
      <c r="O88" s="37"/>
      <c r="P88" s="16" t="str">
        <f t="shared" si="33"/>
        <v/>
      </c>
      <c r="Q88" s="37"/>
      <c r="R88" s="37"/>
      <c r="S88" s="37"/>
      <c r="T88" s="37"/>
      <c r="U88" s="16">
        <f t="shared" si="24"/>
        <v>0</v>
      </c>
      <c r="V88" s="16" t="str">
        <f t="shared" si="25"/>
        <v/>
      </c>
      <c r="W88" s="16" t="str">
        <f>IF(E88="Y",PAR!$C$12,IF(J88="","",IF(J88&lt;11,PAR!$C$6,IF(J88&lt;50,PAR!$C$7,IF(J88&lt;60,PAR!$C$8,IF(J88&lt;70,PAR!$C$9,IF(J88&lt;80,PAR!$C$10,IF(J88&gt;79,PAR!$C$11,0))))))))</f>
        <v/>
      </c>
      <c r="X88" s="16" t="str">
        <f t="shared" si="26"/>
        <v/>
      </c>
      <c r="Y88" s="22" t="str">
        <f t="shared" si="27"/>
        <v/>
      </c>
      <c r="Z88" s="100" t="str">
        <f>IF(IFERROR(IF(E88="Y",(W88*(X88-PAR!$C$15)*Y88)*C88,IF(AA88&lt;&gt;"","See Comment",IFERROR(W88*X88*Y88*C88,"Fill all blue cells"))),"Fill all blue cells")&lt;0,0,(IFERROR(IF(E88="Y",(W88*(X88-PAR!$C$15)*Y88)*C88,IF(AA88&lt;&gt;"","See Comment",IFERROR(W88*X88*Y88*C88,"Fill all blue cells"))),"Fill all blue cells")))</f>
        <v>See Comment</v>
      </c>
      <c r="AA8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8" s="116" t="str">
        <f t="shared" si="35"/>
        <v/>
      </c>
      <c r="AC88" s="20" t="str">
        <f>IF(AND(E88="Y",D88&lt;PAR!C89),"Non bus miles are less than the minumum of 10 (see column D)",IF(AND(E88="Y",F88&lt;&gt;""),"Non Bus Miles",""))</f>
        <v/>
      </c>
      <c r="AD88" s="20" t="str">
        <f t="shared" si="36"/>
        <v/>
      </c>
      <c r="AE88" s="20" t="str">
        <f t="shared" si="28"/>
        <v>Fill Rated Capacity (see column J),</v>
      </c>
      <c r="AF88" s="20" t="str">
        <f t="shared" si="29"/>
        <v/>
      </c>
      <c r="AG88" s="20" t="str">
        <f t="shared" si="30"/>
        <v>Fill reimbursement % for this LE (see column C)</v>
      </c>
      <c r="AH88" s="20" t="str">
        <f t="shared" si="31"/>
        <v>This route has no eligible riders (see columns L:O)</v>
      </c>
      <c r="AI88" s="20" t="str">
        <f t="shared" si="32"/>
        <v>Fill miles per day (see column D)</v>
      </c>
      <c r="AJ88" s="20" t="str">
        <f t="shared" si="37"/>
        <v>Fill number of operating days (see column F)</v>
      </c>
      <c r="AK88" s="20" t="str">
        <f t="shared" si="38"/>
        <v>Fill Non-Bus Miles with Y or N (See column E)</v>
      </c>
      <c r="AL88" s="98" t="s">
        <v>422</v>
      </c>
      <c r="AM88" s="20" t="str">
        <f t="shared" si="39"/>
        <v/>
      </c>
    </row>
    <row r="89" spans="1:39" x14ac:dyDescent="0.75">
      <c r="A89" s="1" t="s">
        <v>174</v>
      </c>
      <c r="B89" s="131"/>
      <c r="C89" s="36"/>
      <c r="D89" s="42"/>
      <c r="E89" s="47"/>
      <c r="F89" s="44"/>
      <c r="G89" s="35"/>
      <c r="H89" s="18" t="s">
        <v>50</v>
      </c>
      <c r="I89" s="125"/>
      <c r="J89" s="35"/>
      <c r="K89" s="18" t="str">
        <f t="shared" si="23"/>
        <v/>
      </c>
      <c r="L89" s="38"/>
      <c r="M89" s="38"/>
      <c r="N89" s="38"/>
      <c r="O89" s="38"/>
      <c r="P89" s="18" t="str">
        <f t="shared" si="33"/>
        <v/>
      </c>
      <c r="Q89" s="38"/>
      <c r="R89" s="38"/>
      <c r="S89" s="38"/>
      <c r="T89" s="38"/>
      <c r="U89" s="18">
        <f t="shared" si="24"/>
        <v>0</v>
      </c>
      <c r="V89" s="18" t="str">
        <f t="shared" si="25"/>
        <v/>
      </c>
      <c r="W89" s="18" t="str">
        <f>IF(E89="Y",PAR!$C$12,IF(J89="","",IF(J89&lt;11,PAR!$C$6,IF(J89&lt;50,PAR!$C$7,IF(J89&lt;60,PAR!$C$8,IF(J89&lt;70,PAR!$C$9,IF(J89&lt;80,PAR!$C$10,IF(J89&gt;79,PAR!$C$11,0))))))))</f>
        <v/>
      </c>
      <c r="X89" s="18" t="str">
        <f t="shared" si="26"/>
        <v/>
      </c>
      <c r="Y89" s="21" t="str">
        <f t="shared" si="27"/>
        <v/>
      </c>
      <c r="Z89" s="100" t="str">
        <f>IF(IFERROR(IF(E89="Y",(W89*(X89-PAR!$C$15)*Y89)*C89,IF(AA89&lt;&gt;"","See Comment",IFERROR(W89*X89*Y89*C89,"Fill all blue cells"))),"Fill all blue cells")&lt;0,0,(IFERROR(IF(E89="Y",(W89*(X89-PAR!$C$15)*Y89)*C89,IF(AA89&lt;&gt;"","See Comment",IFERROR(W89*X89*Y89*C89,"Fill all blue cells"))),"Fill all blue cells")))</f>
        <v>See Comment</v>
      </c>
      <c r="AA8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9" s="116" t="str">
        <f t="shared" si="35"/>
        <v/>
      </c>
      <c r="AC89" s="20" t="str">
        <f>IF(AND(E89="Y",D89&lt;PAR!C90),"Non bus miles are less than the minumum of 10 (see column D)",IF(AND(E89="Y",F89&lt;&gt;""),"Non Bus Miles",""))</f>
        <v/>
      </c>
      <c r="AD89" s="20" t="str">
        <f t="shared" si="36"/>
        <v/>
      </c>
      <c r="AE89" s="20" t="str">
        <f t="shared" si="28"/>
        <v>Fill Rated Capacity (see column J),</v>
      </c>
      <c r="AF89" s="20" t="str">
        <f t="shared" si="29"/>
        <v/>
      </c>
      <c r="AG89" s="20" t="str">
        <f t="shared" si="30"/>
        <v>Fill reimbursement % for this LE (see column C)</v>
      </c>
      <c r="AH89" s="20" t="str">
        <f t="shared" si="31"/>
        <v>This route has no eligible riders (see columns L:O)</v>
      </c>
      <c r="AI89" s="20" t="str">
        <f t="shared" si="32"/>
        <v>Fill miles per day (see column D)</v>
      </c>
      <c r="AJ89" s="20" t="str">
        <f t="shared" si="37"/>
        <v>Fill number of operating days (see column F)</v>
      </c>
      <c r="AK89" s="20" t="str">
        <f t="shared" si="38"/>
        <v>Fill Non-Bus Miles with Y or N (See column E)</v>
      </c>
      <c r="AL89" s="98" t="s">
        <v>422</v>
      </c>
      <c r="AM89" s="20" t="str">
        <f t="shared" si="39"/>
        <v/>
      </c>
    </row>
    <row r="90" spans="1:39" x14ac:dyDescent="0.75">
      <c r="A90" s="1" t="s">
        <v>175</v>
      </c>
      <c r="B90" s="130"/>
      <c r="C90" s="33"/>
      <c r="D90" s="41"/>
      <c r="E90" s="48"/>
      <c r="F90" s="45"/>
      <c r="G90" s="32"/>
      <c r="H90" s="16" t="s">
        <v>50</v>
      </c>
      <c r="I90" s="126"/>
      <c r="J90" s="32"/>
      <c r="K90" s="16" t="str">
        <f t="shared" si="23"/>
        <v/>
      </c>
      <c r="L90" s="37"/>
      <c r="M90" s="37"/>
      <c r="N90" s="37"/>
      <c r="O90" s="37"/>
      <c r="P90" s="16" t="str">
        <f t="shared" si="33"/>
        <v/>
      </c>
      <c r="Q90" s="37"/>
      <c r="R90" s="37"/>
      <c r="S90" s="37"/>
      <c r="T90" s="37"/>
      <c r="U90" s="16">
        <f t="shared" si="24"/>
        <v>0</v>
      </c>
      <c r="V90" s="16" t="str">
        <f t="shared" si="25"/>
        <v/>
      </c>
      <c r="W90" s="16" t="str">
        <f>IF(E90="Y",PAR!$C$12,IF(J90="","",IF(J90&lt;11,PAR!$C$6,IF(J90&lt;50,PAR!$C$7,IF(J90&lt;60,PAR!$C$8,IF(J90&lt;70,PAR!$C$9,IF(J90&lt;80,PAR!$C$10,IF(J90&gt;79,PAR!$C$11,0))))))))</f>
        <v/>
      </c>
      <c r="X90" s="16" t="str">
        <f t="shared" si="26"/>
        <v/>
      </c>
      <c r="Y90" s="22" t="str">
        <f t="shared" si="27"/>
        <v/>
      </c>
      <c r="Z90" s="100" t="str">
        <f>IF(IFERROR(IF(E90="Y",(W90*(X90-PAR!$C$15)*Y90)*C90,IF(AA90&lt;&gt;"","See Comment",IFERROR(W90*X90*Y90*C90,"Fill all blue cells"))),"Fill all blue cells")&lt;0,0,(IFERROR(IF(E90="Y",(W90*(X90-PAR!$C$15)*Y90)*C90,IF(AA90&lt;&gt;"","See Comment",IFERROR(W90*X90*Y90*C90,"Fill all blue cells"))),"Fill all blue cells")))</f>
        <v>See Comment</v>
      </c>
      <c r="AA9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0" s="116" t="str">
        <f t="shared" si="35"/>
        <v/>
      </c>
      <c r="AC90" s="20" t="str">
        <f>IF(AND(E90="Y",D90&lt;PAR!C91),"Non bus miles are less than the minumum of 10 (see column D)",IF(AND(E90="Y",F90&lt;&gt;""),"Non Bus Miles",""))</f>
        <v/>
      </c>
      <c r="AD90" s="20" t="str">
        <f t="shared" si="36"/>
        <v/>
      </c>
      <c r="AE90" s="20" t="str">
        <f t="shared" si="28"/>
        <v>Fill Rated Capacity (see column J),</v>
      </c>
      <c r="AF90" s="20" t="str">
        <f t="shared" si="29"/>
        <v/>
      </c>
      <c r="AG90" s="20" t="str">
        <f t="shared" si="30"/>
        <v>Fill reimbursement % for this LE (see column C)</v>
      </c>
      <c r="AH90" s="20" t="str">
        <f t="shared" si="31"/>
        <v>This route has no eligible riders (see columns L:O)</v>
      </c>
      <c r="AI90" s="20" t="str">
        <f t="shared" si="32"/>
        <v>Fill miles per day (see column D)</v>
      </c>
      <c r="AJ90" s="20" t="str">
        <f t="shared" si="37"/>
        <v>Fill number of operating days (see column F)</v>
      </c>
      <c r="AK90" s="20" t="str">
        <f t="shared" si="38"/>
        <v>Fill Non-Bus Miles with Y or N (See column E)</v>
      </c>
      <c r="AL90" s="98" t="s">
        <v>422</v>
      </c>
      <c r="AM90" s="20" t="str">
        <f t="shared" si="39"/>
        <v/>
      </c>
    </row>
    <row r="91" spans="1:39" x14ac:dyDescent="0.75">
      <c r="A91" s="1" t="s">
        <v>176</v>
      </c>
      <c r="B91" s="131"/>
      <c r="C91" s="36"/>
      <c r="D91" s="42"/>
      <c r="E91" s="47"/>
      <c r="F91" s="44"/>
      <c r="G91" s="35"/>
      <c r="H91" s="18" t="s">
        <v>50</v>
      </c>
      <c r="I91" s="125"/>
      <c r="J91" s="35"/>
      <c r="K91" s="18" t="str">
        <f t="shared" si="23"/>
        <v/>
      </c>
      <c r="L91" s="38"/>
      <c r="M91" s="38"/>
      <c r="N91" s="38"/>
      <c r="O91" s="38"/>
      <c r="P91" s="18" t="str">
        <f t="shared" si="33"/>
        <v/>
      </c>
      <c r="Q91" s="38"/>
      <c r="R91" s="38"/>
      <c r="S91" s="38"/>
      <c r="T91" s="38"/>
      <c r="U91" s="18">
        <f t="shared" si="24"/>
        <v>0</v>
      </c>
      <c r="V91" s="18" t="str">
        <f t="shared" si="25"/>
        <v/>
      </c>
      <c r="W91" s="18" t="str">
        <f>IF(E91="Y",PAR!$C$12,IF(J91="","",IF(J91&lt;11,PAR!$C$6,IF(J91&lt;50,PAR!$C$7,IF(J91&lt;60,PAR!$C$8,IF(J91&lt;70,PAR!$C$9,IF(J91&lt;80,PAR!$C$10,IF(J91&gt;79,PAR!$C$11,0))))))))</f>
        <v/>
      </c>
      <c r="X91" s="18" t="str">
        <f t="shared" si="26"/>
        <v/>
      </c>
      <c r="Y91" s="21" t="str">
        <f t="shared" si="27"/>
        <v/>
      </c>
      <c r="Z91" s="100" t="str">
        <f>IF(IFERROR(IF(E91="Y",(W91*(X91-PAR!$C$15)*Y91)*C91,IF(AA91&lt;&gt;"","See Comment",IFERROR(W91*X91*Y91*C91,"Fill all blue cells"))),"Fill all blue cells")&lt;0,0,(IFERROR(IF(E91="Y",(W91*(X91-PAR!$C$15)*Y91)*C91,IF(AA91&lt;&gt;"","See Comment",IFERROR(W91*X91*Y91*C91,"Fill all blue cells"))),"Fill all blue cells")))</f>
        <v>See Comment</v>
      </c>
      <c r="AA9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1" s="116" t="str">
        <f t="shared" si="35"/>
        <v/>
      </c>
      <c r="AC91" s="20" t="str">
        <f>IF(AND(E91="Y",D91&lt;PAR!C92),"Non bus miles are less than the minumum of 10 (see column D)",IF(AND(E91="Y",F91&lt;&gt;""),"Non Bus Miles",""))</f>
        <v/>
      </c>
      <c r="AD91" s="20" t="str">
        <f t="shared" si="36"/>
        <v/>
      </c>
      <c r="AE91" s="20" t="str">
        <f t="shared" si="28"/>
        <v>Fill Rated Capacity (see column J),</v>
      </c>
      <c r="AF91" s="20" t="str">
        <f t="shared" si="29"/>
        <v/>
      </c>
      <c r="AG91" s="20" t="str">
        <f t="shared" si="30"/>
        <v>Fill reimbursement % for this LE (see column C)</v>
      </c>
      <c r="AH91" s="20" t="str">
        <f t="shared" si="31"/>
        <v>This route has no eligible riders (see columns L:O)</v>
      </c>
      <c r="AI91" s="20" t="str">
        <f t="shared" si="32"/>
        <v>Fill miles per day (see column D)</v>
      </c>
      <c r="AJ91" s="20" t="str">
        <f t="shared" si="37"/>
        <v>Fill number of operating days (see column F)</v>
      </c>
      <c r="AK91" s="20" t="str">
        <f t="shared" si="38"/>
        <v>Fill Non-Bus Miles with Y or N (See column E)</v>
      </c>
      <c r="AL91" s="98" t="s">
        <v>422</v>
      </c>
      <c r="AM91" s="20" t="str">
        <f t="shared" si="39"/>
        <v/>
      </c>
    </row>
    <row r="92" spans="1:39" x14ac:dyDescent="0.75">
      <c r="A92" s="1" t="s">
        <v>177</v>
      </c>
      <c r="B92" s="130"/>
      <c r="C92" s="33"/>
      <c r="D92" s="41"/>
      <c r="E92" s="48"/>
      <c r="F92" s="45"/>
      <c r="G92" s="32"/>
      <c r="H92" s="16" t="s">
        <v>50</v>
      </c>
      <c r="I92" s="126"/>
      <c r="J92" s="32"/>
      <c r="K92" s="16" t="str">
        <f t="shared" si="23"/>
        <v/>
      </c>
      <c r="L92" s="37"/>
      <c r="M92" s="37"/>
      <c r="N92" s="37"/>
      <c r="O92" s="37"/>
      <c r="P92" s="16" t="str">
        <f t="shared" si="33"/>
        <v/>
      </c>
      <c r="Q92" s="37"/>
      <c r="R92" s="37"/>
      <c r="S92" s="37"/>
      <c r="T92" s="37"/>
      <c r="U92" s="16">
        <f t="shared" si="24"/>
        <v>0</v>
      </c>
      <c r="V92" s="16" t="str">
        <f t="shared" si="25"/>
        <v/>
      </c>
      <c r="W92" s="16" t="str">
        <f>IF(E92="Y",PAR!$C$12,IF(J92="","",IF(J92&lt;11,PAR!$C$6,IF(J92&lt;50,PAR!$C$7,IF(J92&lt;60,PAR!$C$8,IF(J92&lt;70,PAR!$C$9,IF(J92&lt;80,PAR!$C$10,IF(J92&gt;79,PAR!$C$11,0))))))))</f>
        <v/>
      </c>
      <c r="X92" s="16" t="str">
        <f t="shared" si="26"/>
        <v/>
      </c>
      <c r="Y92" s="22" t="str">
        <f t="shared" si="27"/>
        <v/>
      </c>
      <c r="Z92" s="100" t="str">
        <f>IF(IFERROR(IF(E92="Y",(W92*(X92-PAR!$C$15)*Y92)*C92,IF(AA92&lt;&gt;"","See Comment",IFERROR(W92*X92*Y92*C92,"Fill all blue cells"))),"Fill all blue cells")&lt;0,0,(IFERROR(IF(E92="Y",(W92*(X92-PAR!$C$15)*Y92)*C92,IF(AA92&lt;&gt;"","See Comment",IFERROR(W92*X92*Y92*C92,"Fill all blue cells"))),"Fill all blue cells")))</f>
        <v>See Comment</v>
      </c>
      <c r="AA9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2" s="116" t="str">
        <f t="shared" si="35"/>
        <v/>
      </c>
      <c r="AC92" s="20" t="str">
        <f>IF(AND(E92="Y",D92&lt;PAR!C93),"Non bus miles are less than the minumum of 10 (see column D)",IF(AND(E92="Y",F92&lt;&gt;""),"Non Bus Miles",""))</f>
        <v/>
      </c>
      <c r="AD92" s="20" t="str">
        <f t="shared" si="36"/>
        <v/>
      </c>
      <c r="AE92" s="20" t="str">
        <f t="shared" si="28"/>
        <v>Fill Rated Capacity (see column J),</v>
      </c>
      <c r="AF92" s="20" t="str">
        <f t="shared" si="29"/>
        <v/>
      </c>
      <c r="AG92" s="20" t="str">
        <f t="shared" si="30"/>
        <v>Fill reimbursement % for this LE (see column C)</v>
      </c>
      <c r="AH92" s="20" t="str">
        <f t="shared" si="31"/>
        <v>This route has no eligible riders (see columns L:O)</v>
      </c>
      <c r="AI92" s="20" t="str">
        <f t="shared" si="32"/>
        <v>Fill miles per day (see column D)</v>
      </c>
      <c r="AJ92" s="20" t="str">
        <f t="shared" si="37"/>
        <v>Fill number of operating days (see column F)</v>
      </c>
      <c r="AK92" s="20" t="str">
        <f t="shared" si="38"/>
        <v>Fill Non-Bus Miles with Y or N (See column E)</v>
      </c>
      <c r="AL92" s="98" t="s">
        <v>422</v>
      </c>
      <c r="AM92" s="20" t="str">
        <f t="shared" si="39"/>
        <v/>
      </c>
    </row>
    <row r="93" spans="1:39" x14ac:dyDescent="0.75">
      <c r="A93" s="1" t="s">
        <v>178</v>
      </c>
      <c r="B93" s="131"/>
      <c r="C93" s="36"/>
      <c r="D93" s="42"/>
      <c r="E93" s="47"/>
      <c r="F93" s="44"/>
      <c r="G93" s="35"/>
      <c r="H93" s="18" t="s">
        <v>50</v>
      </c>
      <c r="I93" s="125"/>
      <c r="J93" s="35"/>
      <c r="K93" s="18" t="str">
        <f t="shared" si="23"/>
        <v/>
      </c>
      <c r="L93" s="38"/>
      <c r="M93" s="38"/>
      <c r="N93" s="38"/>
      <c r="O93" s="38"/>
      <c r="P93" s="18" t="str">
        <f t="shared" si="33"/>
        <v/>
      </c>
      <c r="Q93" s="38"/>
      <c r="R93" s="38"/>
      <c r="S93" s="38"/>
      <c r="T93" s="38"/>
      <c r="U93" s="18">
        <f t="shared" si="24"/>
        <v>0</v>
      </c>
      <c r="V93" s="18" t="str">
        <f t="shared" si="25"/>
        <v/>
      </c>
      <c r="W93" s="18" t="str">
        <f>IF(E93="Y",PAR!$C$12,IF(J93="","",IF(J93&lt;11,PAR!$C$6,IF(J93&lt;50,PAR!$C$7,IF(J93&lt;60,PAR!$C$8,IF(J93&lt;70,PAR!$C$9,IF(J93&lt;80,PAR!$C$10,IF(J93&gt;79,PAR!$C$11,0))))))))</f>
        <v/>
      </c>
      <c r="X93" s="18" t="str">
        <f t="shared" si="26"/>
        <v/>
      </c>
      <c r="Y93" s="21" t="str">
        <f t="shared" si="27"/>
        <v/>
      </c>
      <c r="Z93" s="100" t="str">
        <f>IF(IFERROR(IF(E93="Y",(W93*(X93-PAR!$C$15)*Y93)*C93,IF(AA93&lt;&gt;"","See Comment",IFERROR(W93*X93*Y93*C93,"Fill all blue cells"))),"Fill all blue cells")&lt;0,0,(IFERROR(IF(E93="Y",(W93*(X93-PAR!$C$15)*Y93)*C93,IF(AA93&lt;&gt;"","See Comment",IFERROR(W93*X93*Y93*C93,"Fill all blue cells"))),"Fill all blue cells")))</f>
        <v>See Comment</v>
      </c>
      <c r="AA9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3" s="116" t="str">
        <f t="shared" si="35"/>
        <v/>
      </c>
      <c r="AC93" s="20" t="str">
        <f>IF(AND(E93="Y",D93&lt;PAR!C94),"Non bus miles are less than the minumum of 10 (see column D)",IF(AND(E93="Y",F93&lt;&gt;""),"Non Bus Miles",""))</f>
        <v/>
      </c>
      <c r="AD93" s="20" t="str">
        <f t="shared" si="36"/>
        <v/>
      </c>
      <c r="AE93" s="20" t="str">
        <f t="shared" si="28"/>
        <v>Fill Rated Capacity (see column J),</v>
      </c>
      <c r="AF93" s="20" t="str">
        <f t="shared" si="29"/>
        <v/>
      </c>
      <c r="AG93" s="20" t="str">
        <f t="shared" si="30"/>
        <v>Fill reimbursement % for this LE (see column C)</v>
      </c>
      <c r="AH93" s="20" t="str">
        <f t="shared" si="31"/>
        <v>This route has no eligible riders (see columns L:O)</v>
      </c>
      <c r="AI93" s="20" t="str">
        <f t="shared" si="32"/>
        <v>Fill miles per day (see column D)</v>
      </c>
      <c r="AJ93" s="20" t="str">
        <f t="shared" si="37"/>
        <v>Fill number of operating days (see column F)</v>
      </c>
      <c r="AK93" s="20" t="str">
        <f t="shared" si="38"/>
        <v>Fill Non-Bus Miles with Y or N (See column E)</v>
      </c>
      <c r="AL93" s="98" t="s">
        <v>422</v>
      </c>
      <c r="AM93" s="20" t="str">
        <f t="shared" si="39"/>
        <v/>
      </c>
    </row>
    <row r="94" spans="1:39" x14ac:dyDescent="0.75">
      <c r="A94" s="1" t="s">
        <v>179</v>
      </c>
      <c r="B94" s="130"/>
      <c r="C94" s="33"/>
      <c r="D94" s="41"/>
      <c r="E94" s="48"/>
      <c r="F94" s="45"/>
      <c r="G94" s="32"/>
      <c r="H94" s="16" t="s">
        <v>50</v>
      </c>
      <c r="I94" s="126"/>
      <c r="J94" s="32"/>
      <c r="K94" s="16" t="str">
        <f t="shared" si="23"/>
        <v/>
      </c>
      <c r="L94" s="37"/>
      <c r="M94" s="37"/>
      <c r="N94" s="37"/>
      <c r="O94" s="37"/>
      <c r="P94" s="16" t="str">
        <f t="shared" si="33"/>
        <v/>
      </c>
      <c r="Q94" s="37"/>
      <c r="R94" s="37"/>
      <c r="S94" s="37"/>
      <c r="T94" s="37"/>
      <c r="U94" s="16">
        <f t="shared" si="24"/>
        <v>0</v>
      </c>
      <c r="V94" s="16" t="str">
        <f t="shared" si="25"/>
        <v/>
      </c>
      <c r="W94" s="16" t="str">
        <f>IF(E94="Y",PAR!$C$12,IF(J94="","",IF(J94&lt;11,PAR!$C$6,IF(J94&lt;50,PAR!$C$7,IF(J94&lt;60,PAR!$C$8,IF(J94&lt;70,PAR!$C$9,IF(J94&lt;80,PAR!$C$10,IF(J94&gt;79,PAR!$C$11,0))))))))</f>
        <v/>
      </c>
      <c r="X94" s="16" t="str">
        <f t="shared" si="26"/>
        <v/>
      </c>
      <c r="Y94" s="22" t="str">
        <f t="shared" si="27"/>
        <v/>
      </c>
      <c r="Z94" s="100" t="str">
        <f>IF(IFERROR(IF(E94="Y",(W94*(X94-PAR!$C$15)*Y94)*C94,IF(AA94&lt;&gt;"","See Comment",IFERROR(W94*X94*Y94*C94,"Fill all blue cells"))),"Fill all blue cells")&lt;0,0,(IFERROR(IF(E94="Y",(W94*(X94-PAR!$C$15)*Y94)*C94,IF(AA94&lt;&gt;"","See Comment",IFERROR(W94*X94*Y94*C94,"Fill all blue cells"))),"Fill all blue cells")))</f>
        <v>See Comment</v>
      </c>
      <c r="AA9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4" s="116" t="str">
        <f t="shared" si="35"/>
        <v/>
      </c>
      <c r="AC94" s="20" t="str">
        <f>IF(AND(E94="Y",D94&lt;PAR!C95),"Non bus miles are less than the minumum of 10 (see column D)",IF(AND(E94="Y",F94&lt;&gt;""),"Non Bus Miles",""))</f>
        <v/>
      </c>
      <c r="AD94" s="20" t="str">
        <f t="shared" si="36"/>
        <v/>
      </c>
      <c r="AE94" s="20" t="str">
        <f t="shared" si="28"/>
        <v>Fill Rated Capacity (see column J),</v>
      </c>
      <c r="AF94" s="20" t="str">
        <f t="shared" si="29"/>
        <v/>
      </c>
      <c r="AG94" s="20" t="str">
        <f t="shared" si="30"/>
        <v>Fill reimbursement % for this LE (see column C)</v>
      </c>
      <c r="AH94" s="20" t="str">
        <f t="shared" si="31"/>
        <v>This route has no eligible riders (see columns L:O)</v>
      </c>
      <c r="AI94" s="20" t="str">
        <f t="shared" si="32"/>
        <v>Fill miles per day (see column D)</v>
      </c>
      <c r="AJ94" s="20" t="str">
        <f t="shared" si="37"/>
        <v>Fill number of operating days (see column F)</v>
      </c>
      <c r="AK94" s="20" t="str">
        <f t="shared" si="38"/>
        <v>Fill Non-Bus Miles with Y or N (See column E)</v>
      </c>
      <c r="AL94" s="98" t="s">
        <v>422</v>
      </c>
      <c r="AM94" s="20" t="str">
        <f t="shared" si="39"/>
        <v/>
      </c>
    </row>
    <row r="95" spans="1:39" x14ac:dyDescent="0.75">
      <c r="A95" s="1" t="s">
        <v>180</v>
      </c>
      <c r="B95" s="131"/>
      <c r="C95" s="36"/>
      <c r="D95" s="42"/>
      <c r="E95" s="47"/>
      <c r="F95" s="44"/>
      <c r="G95" s="35"/>
      <c r="H95" s="18" t="s">
        <v>50</v>
      </c>
      <c r="I95" s="125"/>
      <c r="J95" s="35"/>
      <c r="K95" s="18" t="str">
        <f t="shared" si="23"/>
        <v/>
      </c>
      <c r="L95" s="38"/>
      <c r="M95" s="38"/>
      <c r="N95" s="38"/>
      <c r="O95" s="38"/>
      <c r="P95" s="18" t="str">
        <f t="shared" si="33"/>
        <v/>
      </c>
      <c r="Q95" s="38"/>
      <c r="R95" s="38"/>
      <c r="S95" s="38"/>
      <c r="T95" s="38"/>
      <c r="U95" s="18">
        <f t="shared" si="24"/>
        <v>0</v>
      </c>
      <c r="V95" s="18" t="str">
        <f t="shared" si="25"/>
        <v/>
      </c>
      <c r="W95" s="18" t="str">
        <f>IF(E95="Y",PAR!$C$12,IF(J95="","",IF(J95&lt;11,PAR!$C$6,IF(J95&lt;50,PAR!$C$7,IF(J95&lt;60,PAR!$C$8,IF(J95&lt;70,PAR!$C$9,IF(J95&lt;80,PAR!$C$10,IF(J95&gt;79,PAR!$C$11,0))))))))</f>
        <v/>
      </c>
      <c r="X95" s="18" t="str">
        <f t="shared" si="26"/>
        <v/>
      </c>
      <c r="Y95" s="21" t="str">
        <f t="shared" si="27"/>
        <v/>
      </c>
      <c r="Z95" s="100" t="str">
        <f>IF(IFERROR(IF(E95="Y",(W95*(X95-PAR!$C$15)*Y95)*C95,IF(AA95&lt;&gt;"","See Comment",IFERROR(W95*X95*Y95*C95,"Fill all blue cells"))),"Fill all blue cells")&lt;0,0,(IFERROR(IF(E95="Y",(W95*(X95-PAR!$C$15)*Y95)*C95,IF(AA95&lt;&gt;"","See Comment",IFERROR(W95*X95*Y95*C95,"Fill all blue cells"))),"Fill all blue cells")))</f>
        <v>See Comment</v>
      </c>
      <c r="AA9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5" s="116" t="str">
        <f t="shared" si="35"/>
        <v/>
      </c>
      <c r="AC95" s="20" t="str">
        <f>IF(AND(E95="Y",D95&lt;PAR!C96),"Non bus miles are less than the minumum of 10 (see column D)",IF(AND(E95="Y",F95&lt;&gt;""),"Non Bus Miles",""))</f>
        <v/>
      </c>
      <c r="AD95" s="20" t="str">
        <f t="shared" si="36"/>
        <v/>
      </c>
      <c r="AE95" s="20" t="str">
        <f t="shared" si="28"/>
        <v>Fill Rated Capacity (see column J),</v>
      </c>
      <c r="AF95" s="20" t="str">
        <f t="shared" si="29"/>
        <v/>
      </c>
      <c r="AG95" s="20" t="str">
        <f t="shared" si="30"/>
        <v>Fill reimbursement % for this LE (see column C)</v>
      </c>
      <c r="AH95" s="20" t="str">
        <f t="shared" si="31"/>
        <v>This route has no eligible riders (see columns L:O)</v>
      </c>
      <c r="AI95" s="20" t="str">
        <f t="shared" si="32"/>
        <v>Fill miles per day (see column D)</v>
      </c>
      <c r="AJ95" s="20" t="str">
        <f t="shared" si="37"/>
        <v>Fill number of operating days (see column F)</v>
      </c>
      <c r="AK95" s="20" t="str">
        <f t="shared" si="38"/>
        <v>Fill Non-Bus Miles with Y or N (See column E)</v>
      </c>
      <c r="AL95" s="98" t="s">
        <v>422</v>
      </c>
      <c r="AM95" s="20" t="str">
        <f t="shared" si="39"/>
        <v/>
      </c>
    </row>
    <row r="96" spans="1:39" x14ac:dyDescent="0.75">
      <c r="A96" s="1" t="s">
        <v>181</v>
      </c>
      <c r="B96" s="130"/>
      <c r="C96" s="33"/>
      <c r="D96" s="41"/>
      <c r="E96" s="48"/>
      <c r="F96" s="45"/>
      <c r="G96" s="32"/>
      <c r="H96" s="16" t="s">
        <v>50</v>
      </c>
      <c r="I96" s="126"/>
      <c r="J96" s="32"/>
      <c r="K96" s="16" t="str">
        <f t="shared" si="23"/>
        <v/>
      </c>
      <c r="L96" s="37"/>
      <c r="M96" s="37"/>
      <c r="N96" s="37"/>
      <c r="O96" s="37"/>
      <c r="P96" s="16" t="str">
        <f t="shared" si="33"/>
        <v/>
      </c>
      <c r="Q96" s="37"/>
      <c r="R96" s="37"/>
      <c r="S96" s="37"/>
      <c r="T96" s="37"/>
      <c r="U96" s="16">
        <f t="shared" si="24"/>
        <v>0</v>
      </c>
      <c r="V96" s="16" t="str">
        <f t="shared" si="25"/>
        <v/>
      </c>
      <c r="W96" s="16" t="str">
        <f>IF(E96="Y",PAR!$C$12,IF(J96="","",IF(J96&lt;11,PAR!$C$6,IF(J96&lt;50,PAR!$C$7,IF(J96&lt;60,PAR!$C$8,IF(J96&lt;70,PAR!$C$9,IF(J96&lt;80,PAR!$C$10,IF(J96&gt;79,PAR!$C$11,0))))))))</f>
        <v/>
      </c>
      <c r="X96" s="16" t="str">
        <f t="shared" si="26"/>
        <v/>
      </c>
      <c r="Y96" s="22" t="str">
        <f t="shared" si="27"/>
        <v/>
      </c>
      <c r="Z96" s="100" t="str">
        <f>IF(IFERROR(IF(E96="Y",(W96*(X96-PAR!$C$15)*Y96)*C96,IF(AA96&lt;&gt;"","See Comment",IFERROR(W96*X96*Y96*C96,"Fill all blue cells"))),"Fill all blue cells")&lt;0,0,(IFERROR(IF(E96="Y",(W96*(X96-PAR!$C$15)*Y96)*C96,IF(AA96&lt;&gt;"","See Comment",IFERROR(W96*X96*Y96*C96,"Fill all blue cells"))),"Fill all blue cells")))</f>
        <v>See Comment</v>
      </c>
      <c r="AA9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6" s="116" t="str">
        <f t="shared" si="35"/>
        <v/>
      </c>
      <c r="AC96" s="20" t="str">
        <f>IF(AND(E96="Y",D96&lt;PAR!C97),"Non bus miles are less than the minumum of 10 (see column D)",IF(AND(E96="Y",F96&lt;&gt;""),"Non Bus Miles",""))</f>
        <v/>
      </c>
      <c r="AD96" s="20" t="str">
        <f t="shared" si="36"/>
        <v/>
      </c>
      <c r="AE96" s="20" t="str">
        <f t="shared" si="28"/>
        <v>Fill Rated Capacity (see column J),</v>
      </c>
      <c r="AF96" s="20" t="str">
        <f t="shared" si="29"/>
        <v/>
      </c>
      <c r="AG96" s="20" t="str">
        <f t="shared" si="30"/>
        <v>Fill reimbursement % for this LE (see column C)</v>
      </c>
      <c r="AH96" s="20" t="str">
        <f t="shared" si="31"/>
        <v>This route has no eligible riders (see columns L:O)</v>
      </c>
      <c r="AI96" s="20" t="str">
        <f t="shared" si="32"/>
        <v>Fill miles per day (see column D)</v>
      </c>
      <c r="AJ96" s="20" t="str">
        <f t="shared" si="37"/>
        <v>Fill number of operating days (see column F)</v>
      </c>
      <c r="AK96" s="20" t="str">
        <f t="shared" si="38"/>
        <v>Fill Non-Bus Miles with Y or N (See column E)</v>
      </c>
      <c r="AL96" s="98" t="s">
        <v>422</v>
      </c>
      <c r="AM96" s="20" t="str">
        <f t="shared" si="39"/>
        <v/>
      </c>
    </row>
    <row r="97" spans="1:39" x14ac:dyDescent="0.75">
      <c r="A97" s="1" t="s">
        <v>182</v>
      </c>
      <c r="B97" s="131"/>
      <c r="C97" s="36"/>
      <c r="D97" s="42"/>
      <c r="E97" s="47"/>
      <c r="F97" s="44"/>
      <c r="G97" s="35"/>
      <c r="H97" s="18" t="s">
        <v>50</v>
      </c>
      <c r="I97" s="125"/>
      <c r="J97" s="35"/>
      <c r="K97" s="18" t="str">
        <f t="shared" si="23"/>
        <v/>
      </c>
      <c r="L97" s="38"/>
      <c r="M97" s="38"/>
      <c r="N97" s="38"/>
      <c r="O97" s="38"/>
      <c r="P97" s="18" t="str">
        <f t="shared" si="33"/>
        <v/>
      </c>
      <c r="Q97" s="38"/>
      <c r="R97" s="38"/>
      <c r="S97" s="38"/>
      <c r="T97" s="38"/>
      <c r="U97" s="18">
        <f t="shared" si="24"/>
        <v>0</v>
      </c>
      <c r="V97" s="18" t="str">
        <f t="shared" si="25"/>
        <v/>
      </c>
      <c r="W97" s="18" t="str">
        <f>IF(E97="Y",PAR!$C$12,IF(J97="","",IF(J97&lt;11,PAR!$C$6,IF(J97&lt;50,PAR!$C$7,IF(J97&lt;60,PAR!$C$8,IF(J97&lt;70,PAR!$C$9,IF(J97&lt;80,PAR!$C$10,IF(J97&gt;79,PAR!$C$11,0))))))))</f>
        <v/>
      </c>
      <c r="X97" s="18" t="str">
        <f t="shared" si="26"/>
        <v/>
      </c>
      <c r="Y97" s="21" t="str">
        <f t="shared" si="27"/>
        <v/>
      </c>
      <c r="Z97" s="100" t="str">
        <f>IF(IFERROR(IF(E97="Y",(W97*(X97-PAR!$C$15)*Y97)*C97,IF(AA97&lt;&gt;"","See Comment",IFERROR(W97*X97*Y97*C97,"Fill all blue cells"))),"Fill all blue cells")&lt;0,0,(IFERROR(IF(E97="Y",(W97*(X97-PAR!$C$15)*Y97)*C97,IF(AA97&lt;&gt;"","See Comment",IFERROR(W97*X97*Y97*C97,"Fill all blue cells"))),"Fill all blue cells")))</f>
        <v>See Comment</v>
      </c>
      <c r="AA9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7" s="116" t="str">
        <f t="shared" si="35"/>
        <v/>
      </c>
      <c r="AC97" s="20" t="str">
        <f>IF(AND(E97="Y",D97&lt;PAR!C98),"Non bus miles are less than the minumum of 10 (see column D)",IF(AND(E97="Y",F97&lt;&gt;""),"Non Bus Miles",""))</f>
        <v/>
      </c>
      <c r="AD97" s="20" t="str">
        <f t="shared" si="36"/>
        <v/>
      </c>
      <c r="AE97" s="20" t="str">
        <f t="shared" si="28"/>
        <v>Fill Rated Capacity (see column J),</v>
      </c>
      <c r="AF97" s="20" t="str">
        <f t="shared" si="29"/>
        <v/>
      </c>
      <c r="AG97" s="20" t="str">
        <f t="shared" si="30"/>
        <v>Fill reimbursement % for this LE (see column C)</v>
      </c>
      <c r="AH97" s="20" t="str">
        <f t="shared" si="31"/>
        <v>This route has no eligible riders (see columns L:O)</v>
      </c>
      <c r="AI97" s="20" t="str">
        <f t="shared" si="32"/>
        <v>Fill miles per day (see column D)</v>
      </c>
      <c r="AJ97" s="20" t="str">
        <f t="shared" si="37"/>
        <v>Fill number of operating days (see column F)</v>
      </c>
      <c r="AK97" s="20" t="str">
        <f t="shared" si="38"/>
        <v>Fill Non-Bus Miles with Y or N (See column E)</v>
      </c>
      <c r="AL97" s="98" t="s">
        <v>422</v>
      </c>
      <c r="AM97" s="20" t="str">
        <f t="shared" si="39"/>
        <v/>
      </c>
    </row>
    <row r="98" spans="1:39" x14ac:dyDescent="0.75">
      <c r="A98" s="1" t="s">
        <v>183</v>
      </c>
      <c r="B98" s="130"/>
      <c r="C98" s="33"/>
      <c r="D98" s="41"/>
      <c r="E98" s="48"/>
      <c r="F98" s="45"/>
      <c r="G98" s="32"/>
      <c r="H98" s="16" t="s">
        <v>50</v>
      </c>
      <c r="I98" s="126"/>
      <c r="J98" s="32"/>
      <c r="K98" s="16" t="str">
        <f t="shared" si="23"/>
        <v/>
      </c>
      <c r="L98" s="37"/>
      <c r="M98" s="37"/>
      <c r="N98" s="37"/>
      <c r="O98" s="37"/>
      <c r="P98" s="16" t="str">
        <f t="shared" si="33"/>
        <v/>
      </c>
      <c r="Q98" s="37"/>
      <c r="R98" s="37"/>
      <c r="S98" s="37"/>
      <c r="T98" s="37"/>
      <c r="U98" s="16">
        <f t="shared" si="24"/>
        <v>0</v>
      </c>
      <c r="V98" s="16" t="str">
        <f t="shared" si="25"/>
        <v/>
      </c>
      <c r="W98" s="16" t="str">
        <f>IF(E98="Y",PAR!$C$12,IF(J98="","",IF(J98&lt;11,PAR!$C$6,IF(J98&lt;50,PAR!$C$7,IF(J98&lt;60,PAR!$C$8,IF(J98&lt;70,PAR!$C$9,IF(J98&lt;80,PAR!$C$10,IF(J98&gt;79,PAR!$C$11,0))))))))</f>
        <v/>
      </c>
      <c r="X98" s="16" t="str">
        <f t="shared" si="26"/>
        <v/>
      </c>
      <c r="Y98" s="22" t="str">
        <f t="shared" si="27"/>
        <v/>
      </c>
      <c r="Z98" s="100" t="str">
        <f>IF(IFERROR(IF(E98="Y",(W98*(X98-PAR!$C$15)*Y98)*C98,IF(AA98&lt;&gt;"","See Comment",IFERROR(W98*X98*Y98*C98,"Fill all blue cells"))),"Fill all blue cells")&lt;0,0,(IFERROR(IF(E98="Y",(W98*(X98-PAR!$C$15)*Y98)*C98,IF(AA98&lt;&gt;"","See Comment",IFERROR(W98*X98*Y98*C98,"Fill all blue cells"))),"Fill all blue cells")))</f>
        <v>See Comment</v>
      </c>
      <c r="AA9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8" s="116" t="str">
        <f t="shared" si="35"/>
        <v/>
      </c>
      <c r="AC98" s="20" t="str">
        <f>IF(AND(E98="Y",D98&lt;PAR!C99),"Non bus miles are less than the minumum of 10 (see column D)",IF(AND(E98="Y",F98&lt;&gt;""),"Non Bus Miles",""))</f>
        <v/>
      </c>
      <c r="AD98" s="20" t="str">
        <f t="shared" si="36"/>
        <v/>
      </c>
      <c r="AE98" s="20" t="str">
        <f t="shared" si="28"/>
        <v>Fill Rated Capacity (see column J),</v>
      </c>
      <c r="AF98" s="20" t="str">
        <f t="shared" si="29"/>
        <v/>
      </c>
      <c r="AG98" s="20" t="str">
        <f t="shared" si="30"/>
        <v>Fill reimbursement % for this LE (see column C)</v>
      </c>
      <c r="AH98" s="20" t="str">
        <f t="shared" si="31"/>
        <v>This route has no eligible riders (see columns L:O)</v>
      </c>
      <c r="AI98" s="20" t="str">
        <f t="shared" si="32"/>
        <v>Fill miles per day (see column D)</v>
      </c>
      <c r="AJ98" s="20" t="str">
        <f t="shared" si="37"/>
        <v>Fill number of operating days (see column F)</v>
      </c>
      <c r="AK98" s="20" t="str">
        <f t="shared" si="38"/>
        <v>Fill Non-Bus Miles with Y or N (See column E)</v>
      </c>
      <c r="AL98" s="98" t="s">
        <v>422</v>
      </c>
      <c r="AM98" s="20" t="str">
        <f t="shared" si="39"/>
        <v/>
      </c>
    </row>
    <row r="99" spans="1:39" x14ac:dyDescent="0.75">
      <c r="A99" s="1" t="s">
        <v>184</v>
      </c>
      <c r="B99" s="131"/>
      <c r="C99" s="36"/>
      <c r="D99" s="42"/>
      <c r="E99" s="47"/>
      <c r="F99" s="44"/>
      <c r="G99" s="35"/>
      <c r="H99" s="18" t="s">
        <v>50</v>
      </c>
      <c r="I99" s="125"/>
      <c r="J99" s="35"/>
      <c r="K99" s="18" t="str">
        <f t="shared" si="23"/>
        <v/>
      </c>
      <c r="L99" s="38"/>
      <c r="M99" s="38"/>
      <c r="N99" s="38"/>
      <c r="O99" s="38"/>
      <c r="P99" s="18" t="str">
        <f t="shared" si="33"/>
        <v/>
      </c>
      <c r="Q99" s="38"/>
      <c r="R99" s="38"/>
      <c r="S99" s="38"/>
      <c r="T99" s="38"/>
      <c r="U99" s="18">
        <f t="shared" si="24"/>
        <v>0</v>
      </c>
      <c r="V99" s="18" t="str">
        <f t="shared" si="25"/>
        <v/>
      </c>
      <c r="W99" s="18" t="str">
        <f>IF(E99="Y",PAR!$C$12,IF(J99="","",IF(J99&lt;11,PAR!$C$6,IF(J99&lt;50,PAR!$C$7,IF(J99&lt;60,PAR!$C$8,IF(J99&lt;70,PAR!$C$9,IF(J99&lt;80,PAR!$C$10,IF(J99&gt;79,PAR!$C$11,0))))))))</f>
        <v/>
      </c>
      <c r="X99" s="18" t="str">
        <f t="shared" si="26"/>
        <v/>
      </c>
      <c r="Y99" s="21" t="str">
        <f t="shared" si="27"/>
        <v/>
      </c>
      <c r="Z99" s="100" t="str">
        <f>IF(IFERROR(IF(E99="Y",(W99*(X99-PAR!$C$15)*Y99)*C99,IF(AA99&lt;&gt;"","See Comment",IFERROR(W99*X99*Y99*C99,"Fill all blue cells"))),"Fill all blue cells")&lt;0,0,(IFERROR(IF(E99="Y",(W99*(X99-PAR!$C$15)*Y99)*C99,IF(AA99&lt;&gt;"","See Comment",IFERROR(W99*X99*Y99*C99,"Fill all blue cells"))),"Fill all blue cells")))</f>
        <v>See Comment</v>
      </c>
      <c r="AA9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9" s="116" t="str">
        <f t="shared" si="35"/>
        <v/>
      </c>
      <c r="AC99" s="20" t="str">
        <f>IF(AND(E99="Y",D99&lt;PAR!C100),"Non bus miles are less than the minumum of 10 (see column D)",IF(AND(E99="Y",F99&lt;&gt;""),"Non Bus Miles",""))</f>
        <v/>
      </c>
      <c r="AD99" s="20" t="str">
        <f t="shared" si="36"/>
        <v/>
      </c>
      <c r="AE99" s="20" t="str">
        <f t="shared" si="28"/>
        <v>Fill Rated Capacity (see column J),</v>
      </c>
      <c r="AF99" s="20" t="str">
        <f t="shared" si="29"/>
        <v/>
      </c>
      <c r="AG99" s="20" t="str">
        <f t="shared" si="30"/>
        <v>Fill reimbursement % for this LE (see column C)</v>
      </c>
      <c r="AH99" s="20" t="str">
        <f t="shared" si="31"/>
        <v>This route has no eligible riders (see columns L:O)</v>
      </c>
      <c r="AI99" s="20" t="str">
        <f t="shared" si="32"/>
        <v>Fill miles per day (see column D)</v>
      </c>
      <c r="AJ99" s="20" t="str">
        <f t="shared" si="37"/>
        <v>Fill number of operating days (see column F)</v>
      </c>
      <c r="AK99" s="20" t="str">
        <f t="shared" si="38"/>
        <v>Fill Non-Bus Miles with Y or N (See column E)</v>
      </c>
      <c r="AL99" s="98" t="s">
        <v>422</v>
      </c>
      <c r="AM99" s="20" t="str">
        <f t="shared" si="39"/>
        <v/>
      </c>
    </row>
    <row r="100" spans="1:39" x14ac:dyDescent="0.75">
      <c r="A100" s="1" t="s">
        <v>185</v>
      </c>
      <c r="B100" s="130"/>
      <c r="C100" s="33"/>
      <c r="D100" s="41"/>
      <c r="E100" s="48"/>
      <c r="F100" s="45"/>
      <c r="G100" s="32"/>
      <c r="H100" s="16" t="s">
        <v>50</v>
      </c>
      <c r="I100" s="126"/>
      <c r="J100" s="32"/>
      <c r="K100" s="16" t="str">
        <f t="shared" si="23"/>
        <v/>
      </c>
      <c r="L100" s="37"/>
      <c r="M100" s="37"/>
      <c r="N100" s="37"/>
      <c r="O100" s="37"/>
      <c r="P100" s="16" t="str">
        <f t="shared" si="33"/>
        <v/>
      </c>
      <c r="Q100" s="37"/>
      <c r="R100" s="37"/>
      <c r="S100" s="37"/>
      <c r="T100" s="37"/>
      <c r="U100" s="16">
        <f t="shared" si="24"/>
        <v>0</v>
      </c>
      <c r="V100" s="16" t="str">
        <f t="shared" si="25"/>
        <v/>
      </c>
      <c r="W100" s="16" t="str">
        <f>IF(E100="Y",PAR!$C$12,IF(J100="","",IF(J100&lt;11,PAR!$C$6,IF(J100&lt;50,PAR!$C$7,IF(J100&lt;60,PAR!$C$8,IF(J100&lt;70,PAR!$C$9,IF(J100&lt;80,PAR!$C$10,IF(J100&gt;79,PAR!$C$11,0))))))))</f>
        <v/>
      </c>
      <c r="X100" s="16" t="str">
        <f t="shared" si="26"/>
        <v/>
      </c>
      <c r="Y100" s="22" t="str">
        <f t="shared" si="27"/>
        <v/>
      </c>
      <c r="Z100" s="100" t="str">
        <f>IF(IFERROR(IF(E100="Y",(W100*(X100-PAR!$C$15)*Y100)*C100,IF(AA100&lt;&gt;"","See Comment",IFERROR(W100*X100*Y100*C100,"Fill all blue cells"))),"Fill all blue cells")&lt;0,0,(IFERROR(IF(E100="Y",(W100*(X100-PAR!$C$15)*Y100)*C100,IF(AA100&lt;&gt;"","See Comment",IFERROR(W100*X100*Y100*C100,"Fill all blue cells"))),"Fill all blue cells")))</f>
        <v>See Comment</v>
      </c>
      <c r="AA10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0" s="116" t="str">
        <f t="shared" si="35"/>
        <v/>
      </c>
      <c r="AC100" s="20" t="str">
        <f>IF(AND(E100="Y",D100&lt;PAR!C101),"Non bus miles are less than the minumum of 10 (see column D)",IF(AND(E100="Y",F100&lt;&gt;""),"Non Bus Miles",""))</f>
        <v/>
      </c>
      <c r="AD100" s="20" t="str">
        <f t="shared" si="36"/>
        <v/>
      </c>
      <c r="AE100" s="20" t="str">
        <f t="shared" si="28"/>
        <v>Fill Rated Capacity (see column J),</v>
      </c>
      <c r="AF100" s="20" t="str">
        <f t="shared" si="29"/>
        <v/>
      </c>
      <c r="AG100" s="20" t="str">
        <f t="shared" si="30"/>
        <v>Fill reimbursement % for this LE (see column C)</v>
      </c>
      <c r="AH100" s="20" t="str">
        <f t="shared" si="31"/>
        <v>This route has no eligible riders (see columns L:O)</v>
      </c>
      <c r="AI100" s="20" t="str">
        <f t="shared" si="32"/>
        <v>Fill miles per day (see column D)</v>
      </c>
      <c r="AJ100" s="20" t="str">
        <f t="shared" si="37"/>
        <v>Fill number of operating days (see column F)</v>
      </c>
      <c r="AK100" s="20" t="str">
        <f t="shared" si="38"/>
        <v>Fill Non-Bus Miles with Y or N (See column E)</v>
      </c>
      <c r="AL100" s="98" t="s">
        <v>422</v>
      </c>
      <c r="AM100" s="20" t="str">
        <f t="shared" si="39"/>
        <v/>
      </c>
    </row>
    <row r="101" spans="1:39" x14ac:dyDescent="0.75">
      <c r="A101" s="1" t="s">
        <v>186</v>
      </c>
      <c r="B101" s="131"/>
      <c r="C101" s="36"/>
      <c r="D101" s="42"/>
      <c r="E101" s="47"/>
      <c r="F101" s="44"/>
      <c r="G101" s="35"/>
      <c r="H101" s="18" t="s">
        <v>50</v>
      </c>
      <c r="I101" s="125"/>
      <c r="J101" s="35"/>
      <c r="K101" s="18" t="str">
        <f t="shared" si="23"/>
        <v/>
      </c>
      <c r="L101" s="38"/>
      <c r="M101" s="38"/>
      <c r="N101" s="38"/>
      <c r="O101" s="38"/>
      <c r="P101" s="18" t="str">
        <f t="shared" si="33"/>
        <v/>
      </c>
      <c r="Q101" s="38"/>
      <c r="R101" s="38"/>
      <c r="S101" s="38"/>
      <c r="T101" s="38"/>
      <c r="U101" s="18">
        <f t="shared" si="24"/>
        <v>0</v>
      </c>
      <c r="V101" s="18" t="str">
        <f t="shared" si="25"/>
        <v/>
      </c>
      <c r="W101" s="18" t="str">
        <f>IF(E101="Y",PAR!$C$12,IF(J101="","",IF(J101&lt;11,PAR!$C$6,IF(J101&lt;50,PAR!$C$7,IF(J101&lt;60,PAR!$C$8,IF(J101&lt;70,PAR!$C$9,IF(J101&lt;80,PAR!$C$10,IF(J101&gt;79,PAR!$C$11,0))))))))</f>
        <v/>
      </c>
      <c r="X101" s="18" t="str">
        <f t="shared" si="26"/>
        <v/>
      </c>
      <c r="Y101" s="21" t="str">
        <f t="shared" si="27"/>
        <v/>
      </c>
      <c r="Z101" s="100" t="str">
        <f>IF(IFERROR(IF(E101="Y",(W101*(X101-PAR!$C$15)*Y101)*C101,IF(AA101&lt;&gt;"","See Comment",IFERROR(W101*X101*Y101*C101,"Fill all blue cells"))),"Fill all blue cells")&lt;0,0,(IFERROR(IF(E101="Y",(W101*(X101-PAR!$C$15)*Y101)*C101,IF(AA101&lt;&gt;"","See Comment",IFERROR(W101*X101*Y101*C101,"Fill all blue cells"))),"Fill all blue cells")))</f>
        <v>See Comment</v>
      </c>
      <c r="AA10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1" s="116" t="str">
        <f t="shared" si="35"/>
        <v/>
      </c>
      <c r="AC101" s="20" t="str">
        <f>IF(AND(E101="Y",D101&lt;PAR!C102),"Non bus miles are less than the minumum of 10 (see column D)",IF(AND(E101="Y",F101&lt;&gt;""),"Non Bus Miles",""))</f>
        <v/>
      </c>
      <c r="AD101" s="20" t="str">
        <f t="shared" si="36"/>
        <v/>
      </c>
      <c r="AE101" s="20" t="str">
        <f t="shared" si="28"/>
        <v>Fill Rated Capacity (see column J),</v>
      </c>
      <c r="AF101" s="20" t="str">
        <f t="shared" si="29"/>
        <v/>
      </c>
      <c r="AG101" s="20" t="str">
        <f t="shared" si="30"/>
        <v>Fill reimbursement % for this LE (see column C)</v>
      </c>
      <c r="AH101" s="20" t="str">
        <f t="shared" si="31"/>
        <v>This route has no eligible riders (see columns L:O)</v>
      </c>
      <c r="AI101" s="20" t="str">
        <f t="shared" si="32"/>
        <v>Fill miles per day (see column D)</v>
      </c>
      <c r="AJ101" s="20" t="str">
        <f t="shared" si="37"/>
        <v>Fill number of operating days (see column F)</v>
      </c>
      <c r="AK101" s="20" t="str">
        <f t="shared" si="38"/>
        <v>Fill Non-Bus Miles with Y or N (See column E)</v>
      </c>
      <c r="AL101" s="98" t="s">
        <v>422</v>
      </c>
      <c r="AM101" s="20" t="str">
        <f t="shared" si="39"/>
        <v/>
      </c>
    </row>
    <row r="102" spans="1:39" x14ac:dyDescent="0.75">
      <c r="A102" s="1" t="s">
        <v>187</v>
      </c>
      <c r="B102" s="130"/>
      <c r="C102" s="33"/>
      <c r="D102" s="41"/>
      <c r="E102" s="48"/>
      <c r="F102" s="45"/>
      <c r="G102" s="32"/>
      <c r="H102" s="16" t="s">
        <v>50</v>
      </c>
      <c r="I102" s="126"/>
      <c r="J102" s="32"/>
      <c r="K102" s="16" t="str">
        <f t="shared" si="23"/>
        <v/>
      </c>
      <c r="L102" s="37"/>
      <c r="M102" s="37"/>
      <c r="N102" s="37"/>
      <c r="O102" s="37"/>
      <c r="P102" s="16" t="str">
        <f t="shared" si="33"/>
        <v/>
      </c>
      <c r="Q102" s="37"/>
      <c r="R102" s="37"/>
      <c r="S102" s="37"/>
      <c r="T102" s="37"/>
      <c r="U102" s="16">
        <f t="shared" si="24"/>
        <v>0</v>
      </c>
      <c r="V102" s="16" t="str">
        <f t="shared" si="25"/>
        <v/>
      </c>
      <c r="W102" s="16" t="str">
        <f>IF(E102="Y",PAR!$C$12,IF(J102="","",IF(J102&lt;11,PAR!$C$6,IF(J102&lt;50,PAR!$C$7,IF(J102&lt;60,PAR!$C$8,IF(J102&lt;70,PAR!$C$9,IF(J102&lt;80,PAR!$C$10,IF(J102&gt;79,PAR!$C$11,0))))))))</f>
        <v/>
      </c>
      <c r="X102" s="16" t="str">
        <f t="shared" si="26"/>
        <v/>
      </c>
      <c r="Y102" s="22" t="str">
        <f t="shared" si="27"/>
        <v/>
      </c>
      <c r="Z102" s="100" t="str">
        <f>IF(IFERROR(IF(E102="Y",(W102*(X102-PAR!$C$15)*Y102)*C102,IF(AA102&lt;&gt;"","See Comment",IFERROR(W102*X102*Y102*C102,"Fill all blue cells"))),"Fill all blue cells")&lt;0,0,(IFERROR(IF(E102="Y",(W102*(X102-PAR!$C$15)*Y102)*C102,IF(AA102&lt;&gt;"","See Comment",IFERROR(W102*X102*Y102*C102,"Fill all blue cells"))),"Fill all blue cells")))</f>
        <v>See Comment</v>
      </c>
      <c r="AA10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2" s="116" t="str">
        <f t="shared" si="35"/>
        <v/>
      </c>
      <c r="AC102" s="20" t="str">
        <f>IF(AND(E102="Y",D102&lt;PAR!C103),"Non bus miles are less than the minumum of 10 (see column D)",IF(AND(E102="Y",F102&lt;&gt;""),"Non Bus Miles",""))</f>
        <v/>
      </c>
      <c r="AD102" s="20" t="str">
        <f t="shared" si="36"/>
        <v/>
      </c>
      <c r="AE102" s="20" t="str">
        <f t="shared" si="28"/>
        <v>Fill Rated Capacity (see column J),</v>
      </c>
      <c r="AF102" s="20" t="str">
        <f t="shared" si="29"/>
        <v/>
      </c>
      <c r="AG102" s="20" t="str">
        <f t="shared" si="30"/>
        <v>Fill reimbursement % for this LE (see column C)</v>
      </c>
      <c r="AH102" s="20" t="str">
        <f t="shared" si="31"/>
        <v>This route has no eligible riders (see columns L:O)</v>
      </c>
      <c r="AI102" s="20" t="str">
        <f t="shared" si="32"/>
        <v>Fill miles per day (see column D)</v>
      </c>
      <c r="AJ102" s="20" t="str">
        <f t="shared" si="37"/>
        <v>Fill number of operating days (see column F)</v>
      </c>
      <c r="AK102" s="20" t="str">
        <f t="shared" si="38"/>
        <v>Fill Non-Bus Miles with Y or N (See column E)</v>
      </c>
      <c r="AL102" s="98" t="s">
        <v>422</v>
      </c>
      <c r="AM102" s="20" t="str">
        <f t="shared" si="39"/>
        <v/>
      </c>
    </row>
    <row r="103" spans="1:39" x14ac:dyDescent="0.75">
      <c r="A103" s="1" t="s">
        <v>188</v>
      </c>
      <c r="B103" s="131"/>
      <c r="C103" s="36"/>
      <c r="D103" s="42"/>
      <c r="E103" s="47"/>
      <c r="F103" s="44"/>
      <c r="G103" s="35"/>
      <c r="H103" s="18" t="s">
        <v>50</v>
      </c>
      <c r="I103" s="125"/>
      <c r="J103" s="35"/>
      <c r="K103" s="18" t="str">
        <f t="shared" si="23"/>
        <v/>
      </c>
      <c r="L103" s="38"/>
      <c r="M103" s="38"/>
      <c r="N103" s="38"/>
      <c r="O103" s="38"/>
      <c r="P103" s="18" t="str">
        <f t="shared" si="33"/>
        <v/>
      </c>
      <c r="Q103" s="38"/>
      <c r="R103" s="38"/>
      <c r="S103" s="38"/>
      <c r="T103" s="38"/>
      <c r="U103" s="18">
        <f t="shared" si="24"/>
        <v>0</v>
      </c>
      <c r="V103" s="18" t="str">
        <f t="shared" si="25"/>
        <v/>
      </c>
      <c r="W103" s="18" t="str">
        <f>IF(E103="Y",PAR!$C$12,IF(J103="","",IF(J103&lt;11,PAR!$C$6,IF(J103&lt;50,PAR!$C$7,IF(J103&lt;60,PAR!$C$8,IF(J103&lt;70,PAR!$C$9,IF(J103&lt;80,PAR!$C$10,IF(J103&gt;79,PAR!$C$11,0))))))))</f>
        <v/>
      </c>
      <c r="X103" s="18" t="str">
        <f t="shared" si="26"/>
        <v/>
      </c>
      <c r="Y103" s="21" t="str">
        <f t="shared" si="27"/>
        <v/>
      </c>
      <c r="Z103" s="100" t="str">
        <f>IF(IFERROR(IF(E103="Y",(W103*(X103-PAR!$C$15)*Y103)*C103,IF(AA103&lt;&gt;"","See Comment",IFERROR(W103*X103*Y103*C103,"Fill all blue cells"))),"Fill all blue cells")&lt;0,0,(IFERROR(IF(E103="Y",(W103*(X103-PAR!$C$15)*Y103)*C103,IF(AA103&lt;&gt;"","See Comment",IFERROR(W103*X103*Y103*C103,"Fill all blue cells"))),"Fill all blue cells")))</f>
        <v>See Comment</v>
      </c>
      <c r="AA10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3" s="116" t="str">
        <f t="shared" si="35"/>
        <v/>
      </c>
      <c r="AC103" s="20" t="str">
        <f>IF(AND(E103="Y",D103&lt;PAR!C104),"Non bus miles are less than the minumum of 10 (see column D)",IF(AND(E103="Y",F103&lt;&gt;""),"Non Bus Miles",""))</f>
        <v/>
      </c>
      <c r="AD103" s="20" t="str">
        <f t="shared" si="36"/>
        <v/>
      </c>
      <c r="AE103" s="20" t="str">
        <f t="shared" si="28"/>
        <v>Fill Rated Capacity (see column J),</v>
      </c>
      <c r="AF103" s="20" t="str">
        <f t="shared" si="29"/>
        <v/>
      </c>
      <c r="AG103" s="20" t="str">
        <f t="shared" si="30"/>
        <v>Fill reimbursement % for this LE (see column C)</v>
      </c>
      <c r="AH103" s="20" t="str">
        <f t="shared" si="31"/>
        <v>This route has no eligible riders (see columns L:O)</v>
      </c>
      <c r="AI103" s="20" t="str">
        <f t="shared" si="32"/>
        <v>Fill miles per day (see column D)</v>
      </c>
      <c r="AJ103" s="20" t="str">
        <f t="shared" si="37"/>
        <v>Fill number of operating days (see column F)</v>
      </c>
      <c r="AK103" s="20" t="str">
        <f t="shared" si="38"/>
        <v>Fill Non-Bus Miles with Y or N (See column E)</v>
      </c>
      <c r="AL103" s="98" t="s">
        <v>422</v>
      </c>
      <c r="AM103" s="20" t="str">
        <f t="shared" si="39"/>
        <v/>
      </c>
    </row>
    <row r="104" spans="1:39" x14ac:dyDescent="0.75">
      <c r="A104" s="1" t="s">
        <v>189</v>
      </c>
      <c r="B104" s="130"/>
      <c r="C104" s="33"/>
      <c r="D104" s="41"/>
      <c r="E104" s="48"/>
      <c r="F104" s="45"/>
      <c r="G104" s="32"/>
      <c r="H104" s="16" t="s">
        <v>50</v>
      </c>
      <c r="I104" s="126"/>
      <c r="J104" s="32"/>
      <c r="K104" s="16" t="str">
        <f t="shared" si="23"/>
        <v/>
      </c>
      <c r="L104" s="37"/>
      <c r="M104" s="37"/>
      <c r="N104" s="37"/>
      <c r="O104" s="37"/>
      <c r="P104" s="16" t="str">
        <f t="shared" si="33"/>
        <v/>
      </c>
      <c r="Q104" s="37"/>
      <c r="R104" s="37"/>
      <c r="S104" s="37"/>
      <c r="T104" s="37"/>
      <c r="U104" s="16">
        <f t="shared" si="24"/>
        <v>0</v>
      </c>
      <c r="V104" s="16" t="str">
        <f t="shared" si="25"/>
        <v/>
      </c>
      <c r="W104" s="16" t="str">
        <f>IF(E104="Y",PAR!$C$12,IF(J104="","",IF(J104&lt;11,PAR!$C$6,IF(J104&lt;50,PAR!$C$7,IF(J104&lt;60,PAR!$C$8,IF(J104&lt;70,PAR!$C$9,IF(J104&lt;80,PAR!$C$10,IF(J104&gt;79,PAR!$C$11,0))))))))</f>
        <v/>
      </c>
      <c r="X104" s="16" t="str">
        <f t="shared" si="26"/>
        <v/>
      </c>
      <c r="Y104" s="22" t="str">
        <f t="shared" si="27"/>
        <v/>
      </c>
      <c r="Z104" s="100" t="str">
        <f>IF(IFERROR(IF(E104="Y",(W104*(X104-PAR!$C$15)*Y104)*C104,IF(AA104&lt;&gt;"","See Comment",IFERROR(W104*X104*Y104*C104,"Fill all blue cells"))),"Fill all blue cells")&lt;0,0,(IFERROR(IF(E104="Y",(W104*(X104-PAR!$C$15)*Y104)*C104,IF(AA104&lt;&gt;"","See Comment",IFERROR(W104*X104*Y104*C104,"Fill all blue cells"))),"Fill all blue cells")))</f>
        <v>See Comment</v>
      </c>
      <c r="AA10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4" s="116" t="str">
        <f t="shared" si="35"/>
        <v/>
      </c>
      <c r="AC104" s="20" t="str">
        <f>IF(AND(E104="Y",D104&lt;PAR!C105),"Non bus miles are less than the minumum of 10 (see column D)",IF(AND(E104="Y",F104&lt;&gt;""),"Non Bus Miles",""))</f>
        <v/>
      </c>
      <c r="AD104" s="20" t="str">
        <f t="shared" si="36"/>
        <v/>
      </c>
      <c r="AE104" s="20" t="str">
        <f t="shared" si="28"/>
        <v>Fill Rated Capacity (see column J),</v>
      </c>
      <c r="AF104" s="20" t="str">
        <f t="shared" si="29"/>
        <v/>
      </c>
      <c r="AG104" s="20" t="str">
        <f t="shared" si="30"/>
        <v>Fill reimbursement % for this LE (see column C)</v>
      </c>
      <c r="AH104" s="20" t="str">
        <f t="shared" si="31"/>
        <v>This route has no eligible riders (see columns L:O)</v>
      </c>
      <c r="AI104" s="20" t="str">
        <f t="shared" si="32"/>
        <v>Fill miles per day (see column D)</v>
      </c>
      <c r="AJ104" s="20" t="str">
        <f t="shared" si="37"/>
        <v>Fill number of operating days (see column F)</v>
      </c>
      <c r="AK104" s="20" t="str">
        <f t="shared" si="38"/>
        <v>Fill Non-Bus Miles with Y or N (See column E)</v>
      </c>
      <c r="AL104" s="98" t="s">
        <v>422</v>
      </c>
      <c r="AM104" s="20" t="str">
        <f t="shared" si="39"/>
        <v/>
      </c>
    </row>
    <row r="105" spans="1:39" x14ac:dyDescent="0.75">
      <c r="A105" s="1" t="s">
        <v>190</v>
      </c>
      <c r="B105" s="131"/>
      <c r="C105" s="36"/>
      <c r="D105" s="42"/>
      <c r="E105" s="47"/>
      <c r="F105" s="44"/>
      <c r="G105" s="35"/>
      <c r="H105" s="18" t="s">
        <v>50</v>
      </c>
      <c r="I105" s="125"/>
      <c r="J105" s="35"/>
      <c r="K105" s="18" t="str">
        <f t="shared" si="23"/>
        <v/>
      </c>
      <c r="L105" s="38"/>
      <c r="M105" s="38"/>
      <c r="N105" s="38"/>
      <c r="O105" s="38"/>
      <c r="P105" s="18" t="str">
        <f t="shared" si="33"/>
        <v/>
      </c>
      <c r="Q105" s="38"/>
      <c r="R105" s="38"/>
      <c r="S105" s="38"/>
      <c r="T105" s="38"/>
      <c r="U105" s="18">
        <f t="shared" si="24"/>
        <v>0</v>
      </c>
      <c r="V105" s="18" t="str">
        <f t="shared" si="25"/>
        <v/>
      </c>
      <c r="W105" s="18" t="str">
        <f>IF(E105="Y",PAR!$C$12,IF(J105="","",IF(J105&lt;11,PAR!$C$6,IF(J105&lt;50,PAR!$C$7,IF(J105&lt;60,PAR!$C$8,IF(J105&lt;70,PAR!$C$9,IF(J105&lt;80,PAR!$C$10,IF(J105&gt;79,PAR!$C$11,0))))))))</f>
        <v/>
      </c>
      <c r="X105" s="18" t="str">
        <f t="shared" si="26"/>
        <v/>
      </c>
      <c r="Y105" s="21" t="str">
        <f t="shared" si="27"/>
        <v/>
      </c>
      <c r="Z105" s="100" t="str">
        <f>IF(IFERROR(IF(E105="Y",(W105*(X105-PAR!$C$15)*Y105)*C105,IF(AA105&lt;&gt;"","See Comment",IFERROR(W105*X105*Y105*C105,"Fill all blue cells"))),"Fill all blue cells")&lt;0,0,(IFERROR(IF(E105="Y",(W105*(X105-PAR!$C$15)*Y105)*C105,IF(AA105&lt;&gt;"","See Comment",IFERROR(W105*X105*Y105*C105,"Fill all blue cells"))),"Fill all blue cells")))</f>
        <v>See Comment</v>
      </c>
      <c r="AA10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5" s="116" t="str">
        <f t="shared" si="35"/>
        <v/>
      </c>
      <c r="AC105" s="20" t="str">
        <f>IF(AND(E105="Y",D105&lt;PAR!C106),"Non bus miles are less than the minumum of 10 (see column D)",IF(AND(E105="Y",F105&lt;&gt;""),"Non Bus Miles",""))</f>
        <v/>
      </c>
      <c r="AD105" s="20" t="str">
        <f t="shared" si="36"/>
        <v/>
      </c>
      <c r="AE105" s="20" t="str">
        <f t="shared" si="28"/>
        <v>Fill Rated Capacity (see column J),</v>
      </c>
      <c r="AF105" s="20" t="str">
        <f t="shared" si="29"/>
        <v/>
      </c>
      <c r="AG105" s="20" t="str">
        <f t="shared" si="30"/>
        <v>Fill reimbursement % for this LE (see column C)</v>
      </c>
      <c r="AH105" s="20" t="str">
        <f t="shared" si="31"/>
        <v>This route has no eligible riders (see columns L:O)</v>
      </c>
      <c r="AI105" s="20" t="str">
        <f t="shared" si="32"/>
        <v>Fill miles per day (see column D)</v>
      </c>
      <c r="AJ105" s="20" t="str">
        <f t="shared" si="37"/>
        <v>Fill number of operating days (see column F)</v>
      </c>
      <c r="AK105" s="20" t="str">
        <f t="shared" si="38"/>
        <v>Fill Non-Bus Miles with Y or N (See column E)</v>
      </c>
      <c r="AL105" s="98" t="s">
        <v>422</v>
      </c>
      <c r="AM105" s="20" t="str">
        <f t="shared" si="39"/>
        <v/>
      </c>
    </row>
    <row r="106" spans="1:39" x14ac:dyDescent="0.75">
      <c r="A106" s="1" t="s">
        <v>191</v>
      </c>
      <c r="B106" s="130"/>
      <c r="C106" s="33"/>
      <c r="D106" s="41"/>
      <c r="E106" s="48"/>
      <c r="F106" s="45"/>
      <c r="G106" s="32"/>
      <c r="H106" s="16" t="s">
        <v>50</v>
      </c>
      <c r="I106" s="126"/>
      <c r="J106" s="32"/>
      <c r="K106" s="16" t="str">
        <f t="shared" si="23"/>
        <v/>
      </c>
      <c r="L106" s="37"/>
      <c r="M106" s="37"/>
      <c r="N106" s="37"/>
      <c r="O106" s="37"/>
      <c r="P106" s="16" t="str">
        <f t="shared" si="33"/>
        <v/>
      </c>
      <c r="Q106" s="37"/>
      <c r="R106" s="37"/>
      <c r="S106" s="37"/>
      <c r="T106" s="37"/>
      <c r="U106" s="16">
        <f t="shared" si="24"/>
        <v>0</v>
      </c>
      <c r="V106" s="16" t="str">
        <f t="shared" si="25"/>
        <v/>
      </c>
      <c r="W106" s="16" t="str">
        <f>IF(E106="Y",PAR!$C$12,IF(J106="","",IF(J106&lt;11,PAR!$C$6,IF(J106&lt;50,PAR!$C$7,IF(J106&lt;60,PAR!$C$8,IF(J106&lt;70,PAR!$C$9,IF(J106&lt;80,PAR!$C$10,IF(J106&gt;79,PAR!$C$11,0))))))))</f>
        <v/>
      </c>
      <c r="X106" s="16" t="str">
        <f t="shared" si="26"/>
        <v/>
      </c>
      <c r="Y106" s="22" t="str">
        <f t="shared" si="27"/>
        <v/>
      </c>
      <c r="Z106" s="100" t="str">
        <f>IF(IFERROR(IF(E106="Y",(W106*(X106-PAR!$C$15)*Y106)*C106,IF(AA106&lt;&gt;"","See Comment",IFERROR(W106*X106*Y106*C106,"Fill all blue cells"))),"Fill all blue cells")&lt;0,0,(IFERROR(IF(E106="Y",(W106*(X106-PAR!$C$15)*Y106)*C106,IF(AA106&lt;&gt;"","See Comment",IFERROR(W106*X106*Y106*C106,"Fill all blue cells"))),"Fill all blue cells")))</f>
        <v>See Comment</v>
      </c>
      <c r="AA10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6" s="116" t="str">
        <f t="shared" si="35"/>
        <v/>
      </c>
      <c r="AC106" s="20" t="str">
        <f>IF(AND(E106="Y",D106&lt;PAR!C107),"Non bus miles are less than the minumum of 10 (see column D)",IF(AND(E106="Y",F106&lt;&gt;""),"Non Bus Miles",""))</f>
        <v/>
      </c>
      <c r="AD106" s="20" t="str">
        <f t="shared" si="36"/>
        <v/>
      </c>
      <c r="AE106" s="20" t="str">
        <f t="shared" si="28"/>
        <v>Fill Rated Capacity (see column J),</v>
      </c>
      <c r="AF106" s="20" t="str">
        <f t="shared" si="29"/>
        <v/>
      </c>
      <c r="AG106" s="20" t="str">
        <f t="shared" si="30"/>
        <v>Fill reimbursement % for this LE (see column C)</v>
      </c>
      <c r="AH106" s="20" t="str">
        <f t="shared" si="31"/>
        <v>This route has no eligible riders (see columns L:O)</v>
      </c>
      <c r="AI106" s="20" t="str">
        <f t="shared" si="32"/>
        <v>Fill miles per day (see column D)</v>
      </c>
      <c r="AJ106" s="20" t="str">
        <f t="shared" si="37"/>
        <v>Fill number of operating days (see column F)</v>
      </c>
      <c r="AK106" s="20" t="str">
        <f t="shared" si="38"/>
        <v>Fill Non-Bus Miles with Y or N (See column E)</v>
      </c>
      <c r="AL106" s="98" t="s">
        <v>422</v>
      </c>
      <c r="AM106" s="20" t="str">
        <f t="shared" si="39"/>
        <v/>
      </c>
    </row>
    <row r="107" spans="1:39" x14ac:dyDescent="0.75">
      <c r="A107" s="1" t="s">
        <v>192</v>
      </c>
      <c r="B107" s="131"/>
      <c r="C107" s="36"/>
      <c r="D107" s="42"/>
      <c r="E107" s="47"/>
      <c r="F107" s="44"/>
      <c r="G107" s="35"/>
      <c r="H107" s="18" t="s">
        <v>50</v>
      </c>
      <c r="I107" s="125"/>
      <c r="J107" s="35"/>
      <c r="K107" s="18" t="str">
        <f t="shared" si="23"/>
        <v/>
      </c>
      <c r="L107" s="38"/>
      <c r="M107" s="38"/>
      <c r="N107" s="38"/>
      <c r="O107" s="38"/>
      <c r="P107" s="18" t="str">
        <f t="shared" si="33"/>
        <v/>
      </c>
      <c r="Q107" s="38"/>
      <c r="R107" s="38"/>
      <c r="S107" s="38"/>
      <c r="T107" s="38"/>
      <c r="U107" s="18">
        <f t="shared" si="24"/>
        <v>0</v>
      </c>
      <c r="V107" s="18" t="str">
        <f t="shared" si="25"/>
        <v/>
      </c>
      <c r="W107" s="18" t="str">
        <f>IF(E107="Y",PAR!$C$12,IF(J107="","",IF(J107&lt;11,PAR!$C$6,IF(J107&lt;50,PAR!$C$7,IF(J107&lt;60,PAR!$C$8,IF(J107&lt;70,PAR!$C$9,IF(J107&lt;80,PAR!$C$10,IF(J107&gt;79,PAR!$C$11,0))))))))</f>
        <v/>
      </c>
      <c r="X107" s="18" t="str">
        <f t="shared" si="26"/>
        <v/>
      </c>
      <c r="Y107" s="21" t="str">
        <f t="shared" si="27"/>
        <v/>
      </c>
      <c r="Z107" s="100" t="str">
        <f>IF(IFERROR(IF(E107="Y",(W107*(X107-PAR!$C$15)*Y107)*C107,IF(AA107&lt;&gt;"","See Comment",IFERROR(W107*X107*Y107*C107,"Fill all blue cells"))),"Fill all blue cells")&lt;0,0,(IFERROR(IF(E107="Y",(W107*(X107-PAR!$C$15)*Y107)*C107,IF(AA107&lt;&gt;"","See Comment",IFERROR(W107*X107*Y107*C107,"Fill all blue cells"))),"Fill all blue cells")))</f>
        <v>See Comment</v>
      </c>
      <c r="AA10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7" s="116" t="str">
        <f t="shared" si="35"/>
        <v/>
      </c>
      <c r="AC107" s="20" t="str">
        <f>IF(AND(E107="Y",D107&lt;PAR!C108),"Non bus miles are less than the minumum of 10 (see column D)",IF(AND(E107="Y",F107&lt;&gt;""),"Non Bus Miles",""))</f>
        <v/>
      </c>
      <c r="AD107" s="20" t="str">
        <f t="shared" si="36"/>
        <v/>
      </c>
      <c r="AE107" s="20" t="str">
        <f t="shared" si="28"/>
        <v>Fill Rated Capacity (see column J),</v>
      </c>
      <c r="AF107" s="20" t="str">
        <f t="shared" si="29"/>
        <v/>
      </c>
      <c r="AG107" s="20" t="str">
        <f t="shared" si="30"/>
        <v>Fill reimbursement % for this LE (see column C)</v>
      </c>
      <c r="AH107" s="20" t="str">
        <f t="shared" si="31"/>
        <v>This route has no eligible riders (see columns L:O)</v>
      </c>
      <c r="AI107" s="20" t="str">
        <f t="shared" si="32"/>
        <v>Fill miles per day (see column D)</v>
      </c>
      <c r="AJ107" s="20" t="str">
        <f t="shared" si="37"/>
        <v>Fill number of operating days (see column F)</v>
      </c>
      <c r="AK107" s="20" t="str">
        <f t="shared" si="38"/>
        <v>Fill Non-Bus Miles with Y or N (See column E)</v>
      </c>
      <c r="AL107" s="98" t="s">
        <v>422</v>
      </c>
      <c r="AM107" s="20" t="str">
        <f t="shared" si="39"/>
        <v/>
      </c>
    </row>
    <row r="108" spans="1:39" x14ac:dyDescent="0.75">
      <c r="A108" s="1" t="s">
        <v>193</v>
      </c>
      <c r="B108" s="130"/>
      <c r="C108" s="33"/>
      <c r="D108" s="41"/>
      <c r="E108" s="48"/>
      <c r="F108" s="45"/>
      <c r="G108" s="32"/>
      <c r="H108" s="16" t="s">
        <v>50</v>
      </c>
      <c r="I108" s="126"/>
      <c r="J108" s="32"/>
      <c r="K108" s="16" t="str">
        <f t="shared" si="23"/>
        <v/>
      </c>
      <c r="L108" s="37"/>
      <c r="M108" s="37"/>
      <c r="N108" s="37"/>
      <c r="O108" s="37"/>
      <c r="P108" s="16" t="str">
        <f t="shared" si="33"/>
        <v/>
      </c>
      <c r="Q108" s="37"/>
      <c r="R108" s="37"/>
      <c r="S108" s="37"/>
      <c r="T108" s="37"/>
      <c r="U108" s="16">
        <f t="shared" si="24"/>
        <v>0</v>
      </c>
      <c r="V108" s="16" t="str">
        <f t="shared" si="25"/>
        <v/>
      </c>
      <c r="W108" s="16" t="str">
        <f>IF(E108="Y",PAR!$C$12,IF(J108="","",IF(J108&lt;11,PAR!$C$6,IF(J108&lt;50,PAR!$C$7,IF(J108&lt;60,PAR!$C$8,IF(J108&lt;70,PAR!$C$9,IF(J108&lt;80,PAR!$C$10,IF(J108&gt;79,PAR!$C$11,0))))))))</f>
        <v/>
      </c>
      <c r="X108" s="16" t="str">
        <f t="shared" si="26"/>
        <v/>
      </c>
      <c r="Y108" s="22" t="str">
        <f t="shared" si="27"/>
        <v/>
      </c>
      <c r="Z108" s="100" t="str">
        <f>IF(IFERROR(IF(E108="Y",(W108*(X108-PAR!$C$15)*Y108)*C108,IF(AA108&lt;&gt;"","See Comment",IFERROR(W108*X108*Y108*C108,"Fill all blue cells"))),"Fill all blue cells")&lt;0,0,(IFERROR(IF(E108="Y",(W108*(X108-PAR!$C$15)*Y108)*C108,IF(AA108&lt;&gt;"","See Comment",IFERROR(W108*X108*Y108*C108,"Fill all blue cells"))),"Fill all blue cells")))</f>
        <v>See Comment</v>
      </c>
      <c r="AA10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8" s="116" t="str">
        <f t="shared" si="35"/>
        <v/>
      </c>
      <c r="AC108" s="20" t="str">
        <f>IF(AND(E108="Y",D108&lt;PAR!C109),"Non bus miles are less than the minumum of 10 (see column D)",IF(AND(E108="Y",F108&lt;&gt;""),"Non Bus Miles",""))</f>
        <v/>
      </c>
      <c r="AD108" s="20" t="str">
        <f t="shared" si="36"/>
        <v/>
      </c>
      <c r="AE108" s="20" t="str">
        <f t="shared" si="28"/>
        <v>Fill Rated Capacity (see column J),</v>
      </c>
      <c r="AF108" s="20" t="str">
        <f t="shared" si="29"/>
        <v/>
      </c>
      <c r="AG108" s="20" t="str">
        <f t="shared" si="30"/>
        <v>Fill reimbursement % for this LE (see column C)</v>
      </c>
      <c r="AH108" s="20" t="str">
        <f t="shared" si="31"/>
        <v>This route has no eligible riders (see columns L:O)</v>
      </c>
      <c r="AI108" s="20" t="str">
        <f t="shared" si="32"/>
        <v>Fill miles per day (see column D)</v>
      </c>
      <c r="AJ108" s="20" t="str">
        <f t="shared" si="37"/>
        <v>Fill number of operating days (see column F)</v>
      </c>
      <c r="AK108" s="20" t="str">
        <f t="shared" si="38"/>
        <v>Fill Non-Bus Miles with Y or N (See column E)</v>
      </c>
      <c r="AL108" s="98" t="s">
        <v>422</v>
      </c>
      <c r="AM108" s="20" t="str">
        <f t="shared" si="39"/>
        <v/>
      </c>
    </row>
    <row r="109" spans="1:39" x14ac:dyDescent="0.75">
      <c r="A109" s="1" t="s">
        <v>194</v>
      </c>
      <c r="B109" s="131"/>
      <c r="C109" s="36"/>
      <c r="D109" s="42"/>
      <c r="E109" s="47"/>
      <c r="F109" s="44"/>
      <c r="G109" s="35"/>
      <c r="H109" s="18" t="s">
        <v>50</v>
      </c>
      <c r="I109" s="125"/>
      <c r="J109" s="35"/>
      <c r="K109" s="18" t="str">
        <f t="shared" si="23"/>
        <v/>
      </c>
      <c r="L109" s="38"/>
      <c r="M109" s="38"/>
      <c r="N109" s="38"/>
      <c r="O109" s="38"/>
      <c r="P109" s="18" t="str">
        <f t="shared" si="33"/>
        <v/>
      </c>
      <c r="Q109" s="38"/>
      <c r="R109" s="38"/>
      <c r="S109" s="38"/>
      <c r="T109" s="38"/>
      <c r="U109" s="18">
        <f t="shared" si="24"/>
        <v>0</v>
      </c>
      <c r="V109" s="18" t="str">
        <f t="shared" si="25"/>
        <v/>
      </c>
      <c r="W109" s="18" t="str">
        <f>IF(E109="Y",PAR!$C$12,IF(J109="","",IF(J109&lt;11,PAR!$C$6,IF(J109&lt;50,PAR!$C$7,IF(J109&lt;60,PAR!$C$8,IF(J109&lt;70,PAR!$C$9,IF(J109&lt;80,PAR!$C$10,IF(J109&gt;79,PAR!$C$11,0))))))))</f>
        <v/>
      </c>
      <c r="X109" s="18" t="str">
        <f t="shared" si="26"/>
        <v/>
      </c>
      <c r="Y109" s="21" t="str">
        <f t="shared" si="27"/>
        <v/>
      </c>
      <c r="Z109" s="100" t="str">
        <f>IF(IFERROR(IF(E109="Y",(W109*(X109-PAR!$C$15)*Y109)*C109,IF(AA109&lt;&gt;"","See Comment",IFERROR(W109*X109*Y109*C109,"Fill all blue cells"))),"Fill all blue cells")&lt;0,0,(IFERROR(IF(E109="Y",(W109*(X109-PAR!$C$15)*Y109)*C109,IF(AA109&lt;&gt;"","See Comment",IFERROR(W109*X109*Y109*C109,"Fill all blue cells"))),"Fill all blue cells")))</f>
        <v>See Comment</v>
      </c>
      <c r="AA10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9" s="116" t="str">
        <f t="shared" si="35"/>
        <v/>
      </c>
      <c r="AC109" s="20" t="str">
        <f>IF(AND(E109="Y",D109&lt;PAR!C110),"Non bus miles are less than the minumum of 10 (see column D)",IF(AND(E109="Y",F109&lt;&gt;""),"Non Bus Miles",""))</f>
        <v/>
      </c>
      <c r="AD109" s="20" t="str">
        <f t="shared" si="36"/>
        <v/>
      </c>
      <c r="AE109" s="20" t="str">
        <f t="shared" si="28"/>
        <v>Fill Rated Capacity (see column J),</v>
      </c>
      <c r="AF109" s="20" t="str">
        <f t="shared" si="29"/>
        <v/>
      </c>
      <c r="AG109" s="20" t="str">
        <f t="shared" si="30"/>
        <v>Fill reimbursement % for this LE (see column C)</v>
      </c>
      <c r="AH109" s="20" t="str">
        <f t="shared" si="31"/>
        <v>This route has no eligible riders (see columns L:O)</v>
      </c>
      <c r="AI109" s="20" t="str">
        <f t="shared" si="32"/>
        <v>Fill miles per day (see column D)</v>
      </c>
      <c r="AJ109" s="20" t="str">
        <f t="shared" si="37"/>
        <v>Fill number of operating days (see column F)</v>
      </c>
      <c r="AK109" s="20" t="str">
        <f t="shared" si="38"/>
        <v>Fill Non-Bus Miles with Y or N (See column E)</v>
      </c>
      <c r="AL109" s="98" t="s">
        <v>422</v>
      </c>
      <c r="AM109" s="20" t="str">
        <f t="shared" si="39"/>
        <v/>
      </c>
    </row>
    <row r="110" spans="1:39" x14ac:dyDescent="0.75">
      <c r="A110" s="1" t="s">
        <v>195</v>
      </c>
      <c r="B110" s="130"/>
      <c r="C110" s="33"/>
      <c r="D110" s="41"/>
      <c r="E110" s="48"/>
      <c r="F110" s="45"/>
      <c r="G110" s="32"/>
      <c r="H110" s="16" t="s">
        <v>50</v>
      </c>
      <c r="I110" s="126"/>
      <c r="J110" s="32"/>
      <c r="K110" s="16" t="str">
        <f t="shared" si="23"/>
        <v/>
      </c>
      <c r="L110" s="37"/>
      <c r="M110" s="37"/>
      <c r="N110" s="37"/>
      <c r="O110" s="37"/>
      <c r="P110" s="16" t="str">
        <f t="shared" si="33"/>
        <v/>
      </c>
      <c r="Q110" s="37"/>
      <c r="R110" s="37"/>
      <c r="S110" s="37"/>
      <c r="T110" s="37"/>
      <c r="U110" s="16">
        <f t="shared" si="24"/>
        <v>0</v>
      </c>
      <c r="V110" s="16" t="str">
        <f t="shared" si="25"/>
        <v/>
      </c>
      <c r="W110" s="16" t="str">
        <f>IF(E110="Y",PAR!$C$12,IF(J110="","",IF(J110&lt;11,PAR!$C$6,IF(J110&lt;50,PAR!$C$7,IF(J110&lt;60,PAR!$C$8,IF(J110&lt;70,PAR!$C$9,IF(J110&lt;80,PAR!$C$10,IF(J110&gt;79,PAR!$C$11,0))))))))</f>
        <v/>
      </c>
      <c r="X110" s="16" t="str">
        <f t="shared" si="26"/>
        <v/>
      </c>
      <c r="Y110" s="22" t="str">
        <f t="shared" si="27"/>
        <v/>
      </c>
      <c r="Z110" s="100" t="str">
        <f>IF(IFERROR(IF(E110="Y",(W110*(X110-PAR!$C$15)*Y110)*C110,IF(AA110&lt;&gt;"","See Comment",IFERROR(W110*X110*Y110*C110,"Fill all blue cells"))),"Fill all blue cells")&lt;0,0,(IFERROR(IF(E110="Y",(W110*(X110-PAR!$C$15)*Y110)*C110,IF(AA110&lt;&gt;"","See Comment",IFERROR(W110*X110*Y110*C110,"Fill all blue cells"))),"Fill all blue cells")))</f>
        <v>See Comment</v>
      </c>
      <c r="AA11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0" s="116" t="str">
        <f t="shared" si="35"/>
        <v/>
      </c>
      <c r="AC110" s="20" t="str">
        <f>IF(AND(E110="Y",D110&lt;PAR!C111),"Non bus miles are less than the minumum of 10 (see column D)",IF(AND(E110="Y",F110&lt;&gt;""),"Non Bus Miles",""))</f>
        <v/>
      </c>
      <c r="AD110" s="20" t="str">
        <f t="shared" si="36"/>
        <v/>
      </c>
      <c r="AE110" s="20" t="str">
        <f t="shared" si="28"/>
        <v>Fill Rated Capacity (see column J),</v>
      </c>
      <c r="AF110" s="20" t="str">
        <f t="shared" si="29"/>
        <v/>
      </c>
      <c r="AG110" s="20" t="str">
        <f t="shared" si="30"/>
        <v>Fill reimbursement % for this LE (see column C)</v>
      </c>
      <c r="AH110" s="20" t="str">
        <f t="shared" si="31"/>
        <v>This route has no eligible riders (see columns L:O)</v>
      </c>
      <c r="AI110" s="20" t="str">
        <f t="shared" si="32"/>
        <v>Fill miles per day (see column D)</v>
      </c>
      <c r="AJ110" s="20" t="str">
        <f t="shared" si="37"/>
        <v>Fill number of operating days (see column F)</v>
      </c>
      <c r="AK110" s="20" t="str">
        <f t="shared" si="38"/>
        <v>Fill Non-Bus Miles with Y or N (See column E)</v>
      </c>
      <c r="AL110" s="98" t="s">
        <v>422</v>
      </c>
      <c r="AM110" s="20" t="str">
        <f t="shared" si="39"/>
        <v/>
      </c>
    </row>
    <row r="111" spans="1:39" x14ac:dyDescent="0.75">
      <c r="A111" s="1" t="s">
        <v>196</v>
      </c>
      <c r="B111" s="131"/>
      <c r="C111" s="36"/>
      <c r="D111" s="42"/>
      <c r="E111" s="47"/>
      <c r="F111" s="44"/>
      <c r="G111" s="35"/>
      <c r="H111" s="18" t="s">
        <v>50</v>
      </c>
      <c r="I111" s="125"/>
      <c r="J111" s="35"/>
      <c r="K111" s="18" t="str">
        <f t="shared" si="23"/>
        <v/>
      </c>
      <c r="L111" s="38"/>
      <c r="M111" s="38"/>
      <c r="N111" s="38"/>
      <c r="O111" s="38"/>
      <c r="P111" s="18" t="str">
        <f t="shared" si="33"/>
        <v/>
      </c>
      <c r="Q111" s="38"/>
      <c r="R111" s="38"/>
      <c r="S111" s="38"/>
      <c r="T111" s="38"/>
      <c r="U111" s="18">
        <f t="shared" si="24"/>
        <v>0</v>
      </c>
      <c r="V111" s="18" t="str">
        <f t="shared" si="25"/>
        <v/>
      </c>
      <c r="W111" s="18" t="str">
        <f>IF(E111="Y",PAR!$C$12,IF(J111="","",IF(J111&lt;11,PAR!$C$6,IF(J111&lt;50,PAR!$C$7,IF(J111&lt;60,PAR!$C$8,IF(J111&lt;70,PAR!$C$9,IF(J111&lt;80,PAR!$C$10,IF(J111&gt;79,PAR!$C$11,0))))))))</f>
        <v/>
      </c>
      <c r="X111" s="18" t="str">
        <f t="shared" si="26"/>
        <v/>
      </c>
      <c r="Y111" s="21" t="str">
        <f t="shared" si="27"/>
        <v/>
      </c>
      <c r="Z111" s="100" t="str">
        <f>IF(IFERROR(IF(E111="Y",(W111*(X111-PAR!$C$15)*Y111)*C111,IF(AA111&lt;&gt;"","See Comment",IFERROR(W111*X111*Y111*C111,"Fill all blue cells"))),"Fill all blue cells")&lt;0,0,(IFERROR(IF(E111="Y",(W111*(X111-PAR!$C$15)*Y111)*C111,IF(AA111&lt;&gt;"","See Comment",IFERROR(W111*X111*Y111*C111,"Fill all blue cells"))),"Fill all blue cells")))</f>
        <v>See Comment</v>
      </c>
      <c r="AA11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1" s="116" t="str">
        <f t="shared" si="35"/>
        <v/>
      </c>
      <c r="AC111" s="20" t="str">
        <f>IF(AND(E111="Y",D111&lt;PAR!C112),"Non bus miles are less than the minumum of 10 (see column D)",IF(AND(E111="Y",F111&lt;&gt;""),"Non Bus Miles",""))</f>
        <v/>
      </c>
      <c r="AD111" s="20" t="str">
        <f t="shared" si="36"/>
        <v/>
      </c>
      <c r="AE111" s="20" t="str">
        <f t="shared" si="28"/>
        <v>Fill Rated Capacity (see column J),</v>
      </c>
      <c r="AF111" s="20" t="str">
        <f t="shared" si="29"/>
        <v/>
      </c>
      <c r="AG111" s="20" t="str">
        <f t="shared" si="30"/>
        <v>Fill reimbursement % for this LE (see column C)</v>
      </c>
      <c r="AH111" s="20" t="str">
        <f t="shared" si="31"/>
        <v>This route has no eligible riders (see columns L:O)</v>
      </c>
      <c r="AI111" s="20" t="str">
        <f t="shared" si="32"/>
        <v>Fill miles per day (see column D)</v>
      </c>
      <c r="AJ111" s="20" t="str">
        <f t="shared" si="37"/>
        <v>Fill number of operating days (see column F)</v>
      </c>
      <c r="AK111" s="20" t="str">
        <f t="shared" si="38"/>
        <v>Fill Non-Bus Miles with Y or N (See column E)</v>
      </c>
      <c r="AL111" s="98" t="s">
        <v>422</v>
      </c>
      <c r="AM111" s="20" t="str">
        <f t="shared" si="39"/>
        <v/>
      </c>
    </row>
    <row r="112" spans="1:39" x14ac:dyDescent="0.75">
      <c r="A112" s="1" t="s">
        <v>197</v>
      </c>
      <c r="B112" s="130"/>
      <c r="C112" s="33"/>
      <c r="D112" s="41"/>
      <c r="E112" s="48"/>
      <c r="F112" s="45"/>
      <c r="G112" s="32"/>
      <c r="H112" s="16" t="s">
        <v>50</v>
      </c>
      <c r="I112" s="126"/>
      <c r="J112" s="32"/>
      <c r="K112" s="16" t="str">
        <f t="shared" si="23"/>
        <v/>
      </c>
      <c r="L112" s="37"/>
      <c r="M112" s="37"/>
      <c r="N112" s="37"/>
      <c r="O112" s="37"/>
      <c r="P112" s="16" t="str">
        <f t="shared" si="33"/>
        <v/>
      </c>
      <c r="Q112" s="37"/>
      <c r="R112" s="37"/>
      <c r="S112" s="37"/>
      <c r="T112" s="37"/>
      <c r="U112" s="16">
        <f t="shared" si="24"/>
        <v>0</v>
      </c>
      <c r="V112" s="16" t="str">
        <f t="shared" si="25"/>
        <v/>
      </c>
      <c r="W112" s="16" t="str">
        <f>IF(E112="Y",PAR!$C$12,IF(J112="","",IF(J112&lt;11,PAR!$C$6,IF(J112&lt;50,PAR!$C$7,IF(J112&lt;60,PAR!$C$8,IF(J112&lt;70,PAR!$C$9,IF(J112&lt;80,PAR!$C$10,IF(J112&gt;79,PAR!$C$11,0))))))))</f>
        <v/>
      </c>
      <c r="X112" s="16" t="str">
        <f t="shared" si="26"/>
        <v/>
      </c>
      <c r="Y112" s="22" t="str">
        <f t="shared" si="27"/>
        <v/>
      </c>
      <c r="Z112" s="100" t="str">
        <f>IF(IFERROR(IF(E112="Y",(W112*(X112-PAR!$C$15)*Y112)*C112,IF(AA112&lt;&gt;"","See Comment",IFERROR(W112*X112*Y112*C112,"Fill all blue cells"))),"Fill all blue cells")&lt;0,0,(IFERROR(IF(E112="Y",(W112*(X112-PAR!$C$15)*Y112)*C112,IF(AA112&lt;&gt;"","See Comment",IFERROR(W112*X112*Y112*C112,"Fill all blue cells"))),"Fill all blue cells")))</f>
        <v>See Comment</v>
      </c>
      <c r="AA11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2" s="116" t="str">
        <f t="shared" si="35"/>
        <v/>
      </c>
      <c r="AC112" s="20" t="str">
        <f>IF(AND(E112="Y",D112&lt;PAR!C113),"Non bus miles are less than the minumum of 10 (see column D)",IF(AND(E112="Y",F112&lt;&gt;""),"Non Bus Miles",""))</f>
        <v/>
      </c>
      <c r="AD112" s="20" t="str">
        <f t="shared" si="36"/>
        <v/>
      </c>
      <c r="AE112" s="20" t="str">
        <f t="shared" si="28"/>
        <v>Fill Rated Capacity (see column J),</v>
      </c>
      <c r="AF112" s="20" t="str">
        <f t="shared" si="29"/>
        <v/>
      </c>
      <c r="AG112" s="20" t="str">
        <f t="shared" si="30"/>
        <v>Fill reimbursement % for this LE (see column C)</v>
      </c>
      <c r="AH112" s="20" t="str">
        <f t="shared" si="31"/>
        <v>This route has no eligible riders (see columns L:O)</v>
      </c>
      <c r="AI112" s="20" t="str">
        <f t="shared" si="32"/>
        <v>Fill miles per day (see column D)</v>
      </c>
      <c r="AJ112" s="20" t="str">
        <f t="shared" si="37"/>
        <v>Fill number of operating days (see column F)</v>
      </c>
      <c r="AK112" s="20" t="str">
        <f t="shared" si="38"/>
        <v>Fill Non-Bus Miles with Y or N (See column E)</v>
      </c>
      <c r="AL112" s="98" t="s">
        <v>422</v>
      </c>
      <c r="AM112" s="20" t="str">
        <f t="shared" si="39"/>
        <v/>
      </c>
    </row>
    <row r="113" spans="1:39" x14ac:dyDescent="0.75">
      <c r="A113" s="1" t="s">
        <v>198</v>
      </c>
      <c r="B113" s="131"/>
      <c r="C113" s="36"/>
      <c r="D113" s="42"/>
      <c r="E113" s="47"/>
      <c r="F113" s="44"/>
      <c r="G113" s="35"/>
      <c r="H113" s="18" t="s">
        <v>50</v>
      </c>
      <c r="I113" s="125"/>
      <c r="J113" s="35"/>
      <c r="K113" s="18" t="str">
        <f t="shared" si="23"/>
        <v/>
      </c>
      <c r="L113" s="38"/>
      <c r="M113" s="38"/>
      <c r="N113" s="38"/>
      <c r="O113" s="38"/>
      <c r="P113" s="18" t="str">
        <f t="shared" si="33"/>
        <v/>
      </c>
      <c r="Q113" s="38"/>
      <c r="R113" s="38"/>
      <c r="S113" s="38"/>
      <c r="T113" s="38"/>
      <c r="U113" s="18">
        <f t="shared" si="24"/>
        <v>0</v>
      </c>
      <c r="V113" s="18" t="str">
        <f t="shared" si="25"/>
        <v/>
      </c>
      <c r="W113" s="18" t="str">
        <f>IF(E113="Y",PAR!$C$12,IF(J113="","",IF(J113&lt;11,PAR!$C$6,IF(J113&lt;50,PAR!$C$7,IF(J113&lt;60,PAR!$C$8,IF(J113&lt;70,PAR!$C$9,IF(J113&lt;80,PAR!$C$10,IF(J113&gt;79,PAR!$C$11,0))))))))</f>
        <v/>
      </c>
      <c r="X113" s="18" t="str">
        <f t="shared" si="26"/>
        <v/>
      </c>
      <c r="Y113" s="21" t="str">
        <f t="shared" si="27"/>
        <v/>
      </c>
      <c r="Z113" s="100" t="str">
        <f>IF(IFERROR(IF(E113="Y",(W113*(X113-PAR!$C$15)*Y113)*C113,IF(AA113&lt;&gt;"","See Comment",IFERROR(W113*X113*Y113*C113,"Fill all blue cells"))),"Fill all blue cells")&lt;0,0,(IFERROR(IF(E113="Y",(W113*(X113-PAR!$C$15)*Y113)*C113,IF(AA113&lt;&gt;"","See Comment",IFERROR(W113*X113*Y113*C113,"Fill all blue cells"))),"Fill all blue cells")))</f>
        <v>See Comment</v>
      </c>
      <c r="AA11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3" s="116" t="str">
        <f t="shared" si="35"/>
        <v/>
      </c>
      <c r="AC113" s="20" t="str">
        <f>IF(AND(E113="Y",D113&lt;PAR!C114),"Non bus miles are less than the minumum of 10 (see column D)",IF(AND(E113="Y",F113&lt;&gt;""),"Non Bus Miles",""))</f>
        <v/>
      </c>
      <c r="AD113" s="20" t="str">
        <f t="shared" si="36"/>
        <v/>
      </c>
      <c r="AE113" s="20" t="str">
        <f t="shared" si="28"/>
        <v>Fill Rated Capacity (see column J),</v>
      </c>
      <c r="AF113" s="20" t="str">
        <f t="shared" si="29"/>
        <v/>
      </c>
      <c r="AG113" s="20" t="str">
        <f t="shared" si="30"/>
        <v>Fill reimbursement % for this LE (see column C)</v>
      </c>
      <c r="AH113" s="20" t="str">
        <f t="shared" si="31"/>
        <v>This route has no eligible riders (see columns L:O)</v>
      </c>
      <c r="AI113" s="20" t="str">
        <f t="shared" si="32"/>
        <v>Fill miles per day (see column D)</v>
      </c>
      <c r="AJ113" s="20" t="str">
        <f t="shared" si="37"/>
        <v>Fill number of operating days (see column F)</v>
      </c>
      <c r="AK113" s="20" t="str">
        <f t="shared" si="38"/>
        <v>Fill Non-Bus Miles with Y or N (See column E)</v>
      </c>
      <c r="AL113" s="98" t="s">
        <v>422</v>
      </c>
      <c r="AM113" s="20" t="str">
        <f t="shared" si="39"/>
        <v/>
      </c>
    </row>
    <row r="114" spans="1:39" x14ac:dyDescent="0.75">
      <c r="A114" s="1" t="s">
        <v>199</v>
      </c>
      <c r="B114" s="130"/>
      <c r="C114" s="33"/>
      <c r="D114" s="41"/>
      <c r="E114" s="48"/>
      <c r="F114" s="45"/>
      <c r="G114" s="32"/>
      <c r="H114" s="16" t="s">
        <v>50</v>
      </c>
      <c r="I114" s="126"/>
      <c r="J114" s="32"/>
      <c r="K114" s="16" t="str">
        <f t="shared" si="23"/>
        <v/>
      </c>
      <c r="L114" s="37"/>
      <c r="M114" s="37"/>
      <c r="N114" s="37"/>
      <c r="O114" s="37"/>
      <c r="P114" s="16" t="str">
        <f t="shared" si="33"/>
        <v/>
      </c>
      <c r="Q114" s="37"/>
      <c r="R114" s="37"/>
      <c r="S114" s="37"/>
      <c r="T114" s="37"/>
      <c r="U114" s="16">
        <f t="shared" si="24"/>
        <v>0</v>
      </c>
      <c r="V114" s="16" t="str">
        <f t="shared" si="25"/>
        <v/>
      </c>
      <c r="W114" s="16" t="str">
        <f>IF(E114="Y",PAR!$C$12,IF(J114="","",IF(J114&lt;11,PAR!$C$6,IF(J114&lt;50,PAR!$C$7,IF(J114&lt;60,PAR!$C$8,IF(J114&lt;70,PAR!$C$9,IF(J114&lt;80,PAR!$C$10,IF(J114&gt;79,PAR!$C$11,0))))))))</f>
        <v/>
      </c>
      <c r="X114" s="16" t="str">
        <f t="shared" si="26"/>
        <v/>
      </c>
      <c r="Y114" s="22" t="str">
        <f t="shared" si="27"/>
        <v/>
      </c>
      <c r="Z114" s="100" t="str">
        <f>IF(IFERROR(IF(E114="Y",(W114*(X114-PAR!$C$15)*Y114)*C114,IF(AA114&lt;&gt;"","See Comment",IFERROR(W114*X114*Y114*C114,"Fill all blue cells"))),"Fill all blue cells")&lt;0,0,(IFERROR(IF(E114="Y",(W114*(X114-PAR!$C$15)*Y114)*C114,IF(AA114&lt;&gt;"","See Comment",IFERROR(W114*X114*Y114*C114,"Fill all blue cells"))),"Fill all blue cells")))</f>
        <v>See Comment</v>
      </c>
      <c r="AA11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4" s="116" t="str">
        <f t="shared" si="35"/>
        <v/>
      </c>
      <c r="AC114" s="20" t="str">
        <f>IF(AND(E114="Y",D114&lt;PAR!C115),"Non bus miles are less than the minumum of 10 (see column D)",IF(AND(E114="Y",F114&lt;&gt;""),"Non Bus Miles",""))</f>
        <v/>
      </c>
      <c r="AD114" s="20" t="str">
        <f t="shared" si="36"/>
        <v/>
      </c>
      <c r="AE114" s="20" t="str">
        <f t="shared" si="28"/>
        <v>Fill Rated Capacity (see column J),</v>
      </c>
      <c r="AF114" s="20" t="str">
        <f t="shared" si="29"/>
        <v/>
      </c>
      <c r="AG114" s="20" t="str">
        <f t="shared" si="30"/>
        <v>Fill reimbursement % for this LE (see column C)</v>
      </c>
      <c r="AH114" s="20" t="str">
        <f t="shared" si="31"/>
        <v>This route has no eligible riders (see columns L:O)</v>
      </c>
      <c r="AI114" s="20" t="str">
        <f t="shared" si="32"/>
        <v>Fill miles per day (see column D)</v>
      </c>
      <c r="AJ114" s="20" t="str">
        <f t="shared" si="37"/>
        <v>Fill number of operating days (see column F)</v>
      </c>
      <c r="AK114" s="20" t="str">
        <f t="shared" si="38"/>
        <v>Fill Non-Bus Miles with Y or N (See column E)</v>
      </c>
      <c r="AL114" s="98" t="s">
        <v>422</v>
      </c>
      <c r="AM114" s="20" t="str">
        <f t="shared" si="39"/>
        <v/>
      </c>
    </row>
    <row r="115" spans="1:39" x14ac:dyDescent="0.75">
      <c r="A115" s="1" t="s">
        <v>200</v>
      </c>
      <c r="B115" s="131"/>
      <c r="C115" s="36"/>
      <c r="D115" s="42"/>
      <c r="E115" s="47"/>
      <c r="F115" s="44"/>
      <c r="G115" s="35"/>
      <c r="H115" s="18" t="s">
        <v>50</v>
      </c>
      <c r="I115" s="125"/>
      <c r="J115" s="35"/>
      <c r="K115" s="18" t="str">
        <f t="shared" si="23"/>
        <v/>
      </c>
      <c r="L115" s="38"/>
      <c r="M115" s="38"/>
      <c r="N115" s="38"/>
      <c r="O115" s="38"/>
      <c r="P115" s="18" t="str">
        <f t="shared" si="33"/>
        <v/>
      </c>
      <c r="Q115" s="38"/>
      <c r="R115" s="38"/>
      <c r="S115" s="38"/>
      <c r="T115" s="38"/>
      <c r="U115" s="18">
        <f t="shared" si="24"/>
        <v>0</v>
      </c>
      <c r="V115" s="18" t="str">
        <f t="shared" si="25"/>
        <v/>
      </c>
      <c r="W115" s="18" t="str">
        <f>IF(E115="Y",PAR!$C$12,IF(J115="","",IF(J115&lt;11,PAR!$C$6,IF(J115&lt;50,PAR!$C$7,IF(J115&lt;60,PAR!$C$8,IF(J115&lt;70,PAR!$C$9,IF(J115&lt;80,PAR!$C$10,IF(J115&gt;79,PAR!$C$11,0))))))))</f>
        <v/>
      </c>
      <c r="X115" s="18" t="str">
        <f t="shared" si="26"/>
        <v/>
      </c>
      <c r="Y115" s="21" t="str">
        <f t="shared" si="27"/>
        <v/>
      </c>
      <c r="Z115" s="100" t="str">
        <f>IF(IFERROR(IF(E115="Y",(W115*(X115-PAR!$C$15)*Y115)*C115,IF(AA115&lt;&gt;"","See Comment",IFERROR(W115*X115*Y115*C115,"Fill all blue cells"))),"Fill all blue cells")&lt;0,0,(IFERROR(IF(E115="Y",(W115*(X115-PAR!$C$15)*Y115)*C115,IF(AA115&lt;&gt;"","See Comment",IFERROR(W115*X115*Y115*C115,"Fill all blue cells"))),"Fill all blue cells")))</f>
        <v>See Comment</v>
      </c>
      <c r="AA11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5" s="116" t="str">
        <f t="shared" si="35"/>
        <v/>
      </c>
      <c r="AC115" s="20" t="str">
        <f>IF(AND(E115="Y",D115&lt;PAR!C116),"Non bus miles are less than the minumum of 10 (see column D)",IF(AND(E115="Y",F115&lt;&gt;""),"Non Bus Miles",""))</f>
        <v/>
      </c>
      <c r="AD115" s="20" t="str">
        <f t="shared" si="36"/>
        <v/>
      </c>
      <c r="AE115" s="20" t="str">
        <f t="shared" si="28"/>
        <v>Fill Rated Capacity (see column J),</v>
      </c>
      <c r="AF115" s="20" t="str">
        <f t="shared" si="29"/>
        <v/>
      </c>
      <c r="AG115" s="20" t="str">
        <f t="shared" si="30"/>
        <v>Fill reimbursement % for this LE (see column C)</v>
      </c>
      <c r="AH115" s="20" t="str">
        <f t="shared" si="31"/>
        <v>This route has no eligible riders (see columns L:O)</v>
      </c>
      <c r="AI115" s="20" t="str">
        <f t="shared" si="32"/>
        <v>Fill miles per day (see column D)</v>
      </c>
      <c r="AJ115" s="20" t="str">
        <f t="shared" si="37"/>
        <v>Fill number of operating days (see column F)</v>
      </c>
      <c r="AK115" s="20" t="str">
        <f t="shared" si="38"/>
        <v>Fill Non-Bus Miles with Y or N (See column E)</v>
      </c>
      <c r="AL115" s="98" t="s">
        <v>422</v>
      </c>
      <c r="AM115" s="20" t="str">
        <f t="shared" si="39"/>
        <v/>
      </c>
    </row>
    <row r="116" spans="1:39" x14ac:dyDescent="0.75">
      <c r="A116" s="1" t="s">
        <v>201</v>
      </c>
      <c r="B116" s="130"/>
      <c r="C116" s="33"/>
      <c r="D116" s="41"/>
      <c r="E116" s="48"/>
      <c r="F116" s="45"/>
      <c r="G116" s="32"/>
      <c r="H116" s="16" t="s">
        <v>50</v>
      </c>
      <c r="I116" s="126"/>
      <c r="J116" s="32"/>
      <c r="K116" s="16" t="str">
        <f t="shared" si="23"/>
        <v/>
      </c>
      <c r="L116" s="37"/>
      <c r="M116" s="37"/>
      <c r="N116" s="37"/>
      <c r="O116" s="37"/>
      <c r="P116" s="16" t="str">
        <f t="shared" si="33"/>
        <v/>
      </c>
      <c r="Q116" s="37"/>
      <c r="R116" s="37"/>
      <c r="S116" s="37"/>
      <c r="T116" s="37"/>
      <c r="U116" s="16">
        <f t="shared" si="24"/>
        <v>0</v>
      </c>
      <c r="V116" s="16" t="str">
        <f t="shared" si="25"/>
        <v/>
      </c>
      <c r="W116" s="16" t="str">
        <f>IF(E116="Y",PAR!$C$12,IF(J116="","",IF(J116&lt;11,PAR!$C$6,IF(J116&lt;50,PAR!$C$7,IF(J116&lt;60,PAR!$C$8,IF(J116&lt;70,PAR!$C$9,IF(J116&lt;80,PAR!$C$10,IF(J116&gt;79,PAR!$C$11,0))))))))</f>
        <v/>
      </c>
      <c r="X116" s="16" t="str">
        <f t="shared" si="26"/>
        <v/>
      </c>
      <c r="Y116" s="22" t="str">
        <f t="shared" si="27"/>
        <v/>
      </c>
      <c r="Z116" s="100" t="str">
        <f>IF(IFERROR(IF(E116="Y",(W116*(X116-PAR!$C$15)*Y116)*C116,IF(AA116&lt;&gt;"","See Comment",IFERROR(W116*X116*Y116*C116,"Fill all blue cells"))),"Fill all blue cells")&lt;0,0,(IFERROR(IF(E116="Y",(W116*(X116-PAR!$C$15)*Y116)*C116,IF(AA116&lt;&gt;"","See Comment",IFERROR(W116*X116*Y116*C116,"Fill all blue cells"))),"Fill all blue cells")))</f>
        <v>See Comment</v>
      </c>
      <c r="AA11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6" s="116" t="str">
        <f t="shared" si="35"/>
        <v/>
      </c>
      <c r="AC116" s="20" t="str">
        <f>IF(AND(E116="Y",D116&lt;PAR!C117),"Non bus miles are less than the minumum of 10 (see column D)",IF(AND(E116="Y",F116&lt;&gt;""),"Non Bus Miles",""))</f>
        <v/>
      </c>
      <c r="AD116" s="20" t="str">
        <f t="shared" si="36"/>
        <v/>
      </c>
      <c r="AE116" s="20" t="str">
        <f t="shared" si="28"/>
        <v>Fill Rated Capacity (see column J),</v>
      </c>
      <c r="AF116" s="20" t="str">
        <f t="shared" si="29"/>
        <v/>
      </c>
      <c r="AG116" s="20" t="str">
        <f t="shared" si="30"/>
        <v>Fill reimbursement % for this LE (see column C)</v>
      </c>
      <c r="AH116" s="20" t="str">
        <f t="shared" si="31"/>
        <v>This route has no eligible riders (see columns L:O)</v>
      </c>
      <c r="AI116" s="20" t="str">
        <f t="shared" si="32"/>
        <v>Fill miles per day (see column D)</v>
      </c>
      <c r="AJ116" s="20" t="str">
        <f t="shared" si="37"/>
        <v>Fill number of operating days (see column F)</v>
      </c>
      <c r="AK116" s="20" t="str">
        <f t="shared" si="38"/>
        <v>Fill Non-Bus Miles with Y or N (See column E)</v>
      </c>
      <c r="AL116" s="98" t="s">
        <v>422</v>
      </c>
      <c r="AM116" s="20" t="str">
        <f t="shared" si="39"/>
        <v/>
      </c>
    </row>
    <row r="117" spans="1:39" x14ac:dyDescent="0.75">
      <c r="A117" s="1" t="s">
        <v>202</v>
      </c>
      <c r="B117" s="131"/>
      <c r="C117" s="36"/>
      <c r="D117" s="42"/>
      <c r="E117" s="47"/>
      <c r="F117" s="44"/>
      <c r="G117" s="35"/>
      <c r="H117" s="18" t="s">
        <v>50</v>
      </c>
      <c r="I117" s="125"/>
      <c r="J117" s="35"/>
      <c r="K117" s="18" t="str">
        <f t="shared" si="23"/>
        <v/>
      </c>
      <c r="L117" s="38"/>
      <c r="M117" s="38"/>
      <c r="N117" s="38"/>
      <c r="O117" s="38"/>
      <c r="P117" s="18" t="str">
        <f t="shared" si="33"/>
        <v/>
      </c>
      <c r="Q117" s="38"/>
      <c r="R117" s="38"/>
      <c r="S117" s="38"/>
      <c r="T117" s="38"/>
      <c r="U117" s="18">
        <f t="shared" si="24"/>
        <v>0</v>
      </c>
      <c r="V117" s="18" t="str">
        <f t="shared" si="25"/>
        <v/>
      </c>
      <c r="W117" s="18" t="str">
        <f>IF(E117="Y",PAR!$C$12,IF(J117="","",IF(J117&lt;11,PAR!$C$6,IF(J117&lt;50,PAR!$C$7,IF(J117&lt;60,PAR!$C$8,IF(J117&lt;70,PAR!$C$9,IF(J117&lt;80,PAR!$C$10,IF(J117&gt;79,PAR!$C$11,0))))))))</f>
        <v/>
      </c>
      <c r="X117" s="18" t="str">
        <f t="shared" si="26"/>
        <v/>
      </c>
      <c r="Y117" s="21" t="str">
        <f t="shared" si="27"/>
        <v/>
      </c>
      <c r="Z117" s="100" t="str">
        <f>IF(IFERROR(IF(E117="Y",(W117*(X117-PAR!$C$15)*Y117)*C117,IF(AA117&lt;&gt;"","See Comment",IFERROR(W117*X117*Y117*C117,"Fill all blue cells"))),"Fill all blue cells")&lt;0,0,(IFERROR(IF(E117="Y",(W117*(X117-PAR!$C$15)*Y117)*C117,IF(AA117&lt;&gt;"","See Comment",IFERROR(W117*X117*Y117*C117,"Fill all blue cells"))),"Fill all blue cells")))</f>
        <v>See Comment</v>
      </c>
      <c r="AA11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7" s="116" t="str">
        <f t="shared" si="35"/>
        <v/>
      </c>
      <c r="AC117" s="20" t="str">
        <f>IF(AND(E117="Y",D117&lt;PAR!C118),"Non bus miles are less than the minumum of 10 (see column D)",IF(AND(E117="Y",F117&lt;&gt;""),"Non Bus Miles",""))</f>
        <v/>
      </c>
      <c r="AD117" s="20" t="str">
        <f t="shared" si="36"/>
        <v/>
      </c>
      <c r="AE117" s="20" t="str">
        <f t="shared" si="28"/>
        <v>Fill Rated Capacity (see column J),</v>
      </c>
      <c r="AF117" s="20" t="str">
        <f t="shared" si="29"/>
        <v/>
      </c>
      <c r="AG117" s="20" t="str">
        <f t="shared" si="30"/>
        <v>Fill reimbursement % for this LE (see column C)</v>
      </c>
      <c r="AH117" s="20" t="str">
        <f t="shared" si="31"/>
        <v>This route has no eligible riders (see columns L:O)</v>
      </c>
      <c r="AI117" s="20" t="str">
        <f t="shared" si="32"/>
        <v>Fill miles per day (see column D)</v>
      </c>
      <c r="AJ117" s="20" t="str">
        <f t="shared" si="37"/>
        <v>Fill number of operating days (see column F)</v>
      </c>
      <c r="AK117" s="20" t="str">
        <f t="shared" si="38"/>
        <v>Fill Non-Bus Miles with Y or N (See column E)</v>
      </c>
      <c r="AL117" s="98" t="s">
        <v>422</v>
      </c>
      <c r="AM117" s="20" t="str">
        <f t="shared" si="39"/>
        <v/>
      </c>
    </row>
    <row r="118" spans="1:39" x14ac:dyDescent="0.75">
      <c r="A118" s="1" t="s">
        <v>203</v>
      </c>
      <c r="B118" s="130"/>
      <c r="C118" s="33"/>
      <c r="D118" s="41"/>
      <c r="E118" s="48"/>
      <c r="F118" s="45"/>
      <c r="G118" s="32"/>
      <c r="H118" s="16" t="s">
        <v>50</v>
      </c>
      <c r="I118" s="126"/>
      <c r="J118" s="32"/>
      <c r="K118" s="16" t="str">
        <f t="shared" si="23"/>
        <v/>
      </c>
      <c r="L118" s="37"/>
      <c r="M118" s="37"/>
      <c r="N118" s="37"/>
      <c r="O118" s="37"/>
      <c r="P118" s="16" t="str">
        <f t="shared" si="33"/>
        <v/>
      </c>
      <c r="Q118" s="37"/>
      <c r="R118" s="37"/>
      <c r="S118" s="37"/>
      <c r="T118" s="37"/>
      <c r="U118" s="16">
        <f t="shared" si="24"/>
        <v>0</v>
      </c>
      <c r="V118" s="16" t="str">
        <f t="shared" si="25"/>
        <v/>
      </c>
      <c r="W118" s="16" t="str">
        <f>IF(E118="Y",PAR!$C$12,IF(J118="","",IF(J118&lt;11,PAR!$C$6,IF(J118&lt;50,PAR!$C$7,IF(J118&lt;60,PAR!$C$8,IF(J118&lt;70,PAR!$C$9,IF(J118&lt;80,PAR!$C$10,IF(J118&gt;79,PAR!$C$11,0))))))))</f>
        <v/>
      </c>
      <c r="X118" s="16" t="str">
        <f t="shared" si="26"/>
        <v/>
      </c>
      <c r="Y118" s="22" t="str">
        <f t="shared" si="27"/>
        <v/>
      </c>
      <c r="Z118" s="100" t="str">
        <f>IF(IFERROR(IF(E118="Y",(W118*(X118-PAR!$C$15)*Y118)*C118,IF(AA118&lt;&gt;"","See Comment",IFERROR(W118*X118*Y118*C118,"Fill all blue cells"))),"Fill all blue cells")&lt;0,0,(IFERROR(IF(E118="Y",(W118*(X118-PAR!$C$15)*Y118)*C118,IF(AA118&lt;&gt;"","See Comment",IFERROR(W118*X118*Y118*C118,"Fill all blue cells"))),"Fill all blue cells")))</f>
        <v>See Comment</v>
      </c>
      <c r="AA11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8" s="116" t="str">
        <f t="shared" si="35"/>
        <v/>
      </c>
      <c r="AC118" s="20" t="str">
        <f>IF(AND(E118="Y",D118&lt;PAR!C119),"Non bus miles are less than the minumum of 10 (see column D)",IF(AND(E118="Y",F118&lt;&gt;""),"Non Bus Miles",""))</f>
        <v/>
      </c>
      <c r="AD118" s="20" t="str">
        <f t="shared" si="36"/>
        <v/>
      </c>
      <c r="AE118" s="20" t="str">
        <f t="shared" si="28"/>
        <v>Fill Rated Capacity (see column J),</v>
      </c>
      <c r="AF118" s="20" t="str">
        <f t="shared" si="29"/>
        <v/>
      </c>
      <c r="AG118" s="20" t="str">
        <f t="shared" si="30"/>
        <v>Fill reimbursement % for this LE (see column C)</v>
      </c>
      <c r="AH118" s="20" t="str">
        <f t="shared" si="31"/>
        <v>This route has no eligible riders (see columns L:O)</v>
      </c>
      <c r="AI118" s="20" t="str">
        <f t="shared" si="32"/>
        <v>Fill miles per day (see column D)</v>
      </c>
      <c r="AJ118" s="20" t="str">
        <f t="shared" si="37"/>
        <v>Fill number of operating days (see column F)</v>
      </c>
      <c r="AK118" s="20" t="str">
        <f t="shared" si="38"/>
        <v>Fill Non-Bus Miles with Y or N (See column E)</v>
      </c>
      <c r="AL118" s="98" t="s">
        <v>422</v>
      </c>
      <c r="AM118" s="20" t="str">
        <f t="shared" si="39"/>
        <v/>
      </c>
    </row>
    <row r="119" spans="1:39" x14ac:dyDescent="0.75">
      <c r="A119" s="1" t="s">
        <v>204</v>
      </c>
      <c r="B119" s="131"/>
      <c r="C119" s="36"/>
      <c r="D119" s="42"/>
      <c r="E119" s="47"/>
      <c r="F119" s="44"/>
      <c r="G119" s="35"/>
      <c r="H119" s="18" t="s">
        <v>50</v>
      </c>
      <c r="I119" s="125"/>
      <c r="J119" s="35"/>
      <c r="K119" s="18" t="str">
        <f t="shared" si="23"/>
        <v/>
      </c>
      <c r="L119" s="38"/>
      <c r="M119" s="38"/>
      <c r="N119" s="38"/>
      <c r="O119" s="38"/>
      <c r="P119" s="18" t="str">
        <f t="shared" si="33"/>
        <v/>
      </c>
      <c r="Q119" s="38"/>
      <c r="R119" s="38"/>
      <c r="S119" s="38"/>
      <c r="T119" s="38"/>
      <c r="U119" s="18">
        <f t="shared" si="24"/>
        <v>0</v>
      </c>
      <c r="V119" s="18" t="str">
        <f t="shared" si="25"/>
        <v/>
      </c>
      <c r="W119" s="18" t="str">
        <f>IF(E119="Y",PAR!$C$12,IF(J119="","",IF(J119&lt;11,PAR!$C$6,IF(J119&lt;50,PAR!$C$7,IF(J119&lt;60,PAR!$C$8,IF(J119&lt;70,PAR!$C$9,IF(J119&lt;80,PAR!$C$10,IF(J119&gt;79,PAR!$C$11,0))))))))</f>
        <v/>
      </c>
      <c r="X119" s="18" t="str">
        <f t="shared" si="26"/>
        <v/>
      </c>
      <c r="Y119" s="21" t="str">
        <f t="shared" si="27"/>
        <v/>
      </c>
      <c r="Z119" s="100" t="str">
        <f>IF(IFERROR(IF(E119="Y",(W119*(X119-PAR!$C$15)*Y119)*C119,IF(AA119&lt;&gt;"","See Comment",IFERROR(W119*X119*Y119*C119,"Fill all blue cells"))),"Fill all blue cells")&lt;0,0,(IFERROR(IF(E119="Y",(W119*(X119-PAR!$C$15)*Y119)*C119,IF(AA119&lt;&gt;"","See Comment",IFERROR(W119*X119*Y119*C119,"Fill all blue cells"))),"Fill all blue cells")))</f>
        <v>See Comment</v>
      </c>
      <c r="AA11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9" s="116" t="str">
        <f t="shared" si="35"/>
        <v/>
      </c>
      <c r="AC119" s="20" t="str">
        <f>IF(AND(E119="Y",D119&lt;PAR!C120),"Non bus miles are less than the minumum of 10 (see column D)",IF(AND(E119="Y",F119&lt;&gt;""),"Non Bus Miles",""))</f>
        <v/>
      </c>
      <c r="AD119" s="20" t="str">
        <f t="shared" si="36"/>
        <v/>
      </c>
      <c r="AE119" s="20" t="str">
        <f t="shared" si="28"/>
        <v>Fill Rated Capacity (see column J),</v>
      </c>
      <c r="AF119" s="20" t="str">
        <f t="shared" si="29"/>
        <v/>
      </c>
      <c r="AG119" s="20" t="str">
        <f t="shared" si="30"/>
        <v>Fill reimbursement % for this LE (see column C)</v>
      </c>
      <c r="AH119" s="20" t="str">
        <f t="shared" si="31"/>
        <v>This route has no eligible riders (see columns L:O)</v>
      </c>
      <c r="AI119" s="20" t="str">
        <f t="shared" si="32"/>
        <v>Fill miles per day (see column D)</v>
      </c>
      <c r="AJ119" s="20" t="str">
        <f t="shared" si="37"/>
        <v>Fill number of operating days (see column F)</v>
      </c>
      <c r="AK119" s="20" t="str">
        <f t="shared" si="38"/>
        <v>Fill Non-Bus Miles with Y or N (See column E)</v>
      </c>
      <c r="AL119" s="98" t="s">
        <v>422</v>
      </c>
      <c r="AM119" s="20" t="str">
        <f t="shared" si="39"/>
        <v/>
      </c>
    </row>
    <row r="120" spans="1:39" x14ac:dyDescent="0.75">
      <c r="A120" s="1" t="s">
        <v>205</v>
      </c>
      <c r="B120" s="130"/>
      <c r="C120" s="33"/>
      <c r="D120" s="41"/>
      <c r="E120" s="48"/>
      <c r="F120" s="45"/>
      <c r="G120" s="32"/>
      <c r="H120" s="16" t="s">
        <v>50</v>
      </c>
      <c r="I120" s="126"/>
      <c r="J120" s="32"/>
      <c r="K120" s="16" t="str">
        <f t="shared" si="23"/>
        <v/>
      </c>
      <c r="L120" s="37"/>
      <c r="M120" s="37"/>
      <c r="N120" s="37"/>
      <c r="O120" s="37"/>
      <c r="P120" s="16" t="str">
        <f t="shared" si="33"/>
        <v/>
      </c>
      <c r="Q120" s="37"/>
      <c r="R120" s="37"/>
      <c r="S120" s="37"/>
      <c r="T120" s="37"/>
      <c r="U120" s="16">
        <f t="shared" si="24"/>
        <v>0</v>
      </c>
      <c r="V120" s="16" t="str">
        <f t="shared" si="25"/>
        <v/>
      </c>
      <c r="W120" s="16" t="str">
        <f>IF(E120="Y",PAR!$C$12,IF(J120="","",IF(J120&lt;11,PAR!$C$6,IF(J120&lt;50,PAR!$C$7,IF(J120&lt;60,PAR!$C$8,IF(J120&lt;70,PAR!$C$9,IF(J120&lt;80,PAR!$C$10,IF(J120&gt;79,PAR!$C$11,0))))))))</f>
        <v/>
      </c>
      <c r="X120" s="16" t="str">
        <f t="shared" si="26"/>
        <v/>
      </c>
      <c r="Y120" s="22" t="str">
        <f t="shared" si="27"/>
        <v/>
      </c>
      <c r="Z120" s="100" t="str">
        <f>IF(IFERROR(IF(E120="Y",(W120*(X120-PAR!$C$15)*Y120)*C120,IF(AA120&lt;&gt;"","See Comment",IFERROR(W120*X120*Y120*C120,"Fill all blue cells"))),"Fill all blue cells")&lt;0,0,(IFERROR(IF(E120="Y",(W120*(X120-PAR!$C$15)*Y120)*C120,IF(AA120&lt;&gt;"","See Comment",IFERROR(W120*X120*Y120*C120,"Fill all blue cells"))),"Fill all blue cells")))</f>
        <v>See Comment</v>
      </c>
      <c r="AA12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0" s="116" t="str">
        <f t="shared" si="35"/>
        <v/>
      </c>
      <c r="AC120" s="20" t="str">
        <f>IF(AND(E120="Y",D120&lt;PAR!C121),"Non bus miles are less than the minumum of 10 (see column D)",IF(AND(E120="Y",F120&lt;&gt;""),"Non Bus Miles",""))</f>
        <v/>
      </c>
      <c r="AD120" s="20" t="str">
        <f t="shared" si="36"/>
        <v/>
      </c>
      <c r="AE120" s="20" t="str">
        <f t="shared" si="28"/>
        <v>Fill Rated Capacity (see column J),</v>
      </c>
      <c r="AF120" s="20" t="str">
        <f t="shared" si="29"/>
        <v/>
      </c>
      <c r="AG120" s="20" t="str">
        <f t="shared" si="30"/>
        <v>Fill reimbursement % for this LE (see column C)</v>
      </c>
      <c r="AH120" s="20" t="str">
        <f t="shared" si="31"/>
        <v>This route has no eligible riders (see columns L:O)</v>
      </c>
      <c r="AI120" s="20" t="str">
        <f t="shared" si="32"/>
        <v>Fill miles per day (see column D)</v>
      </c>
      <c r="AJ120" s="20" t="str">
        <f t="shared" si="37"/>
        <v>Fill number of operating days (see column F)</v>
      </c>
      <c r="AK120" s="20" t="str">
        <f t="shared" si="38"/>
        <v>Fill Non-Bus Miles with Y or N (See column E)</v>
      </c>
      <c r="AL120" s="98" t="s">
        <v>422</v>
      </c>
      <c r="AM120" s="20" t="str">
        <f t="shared" si="39"/>
        <v/>
      </c>
    </row>
    <row r="121" spans="1:39" x14ac:dyDescent="0.75">
      <c r="A121" s="1" t="s">
        <v>206</v>
      </c>
      <c r="B121" s="131"/>
      <c r="C121" s="36"/>
      <c r="D121" s="42"/>
      <c r="E121" s="47"/>
      <c r="F121" s="44"/>
      <c r="G121" s="35"/>
      <c r="H121" s="18" t="s">
        <v>50</v>
      </c>
      <c r="I121" s="125"/>
      <c r="J121" s="35"/>
      <c r="K121" s="18" t="str">
        <f t="shared" si="23"/>
        <v/>
      </c>
      <c r="L121" s="38"/>
      <c r="M121" s="38"/>
      <c r="N121" s="38"/>
      <c r="O121" s="38"/>
      <c r="P121" s="18" t="str">
        <f t="shared" si="33"/>
        <v/>
      </c>
      <c r="Q121" s="38"/>
      <c r="R121" s="38"/>
      <c r="S121" s="38"/>
      <c r="T121" s="38"/>
      <c r="U121" s="18">
        <f t="shared" si="24"/>
        <v>0</v>
      </c>
      <c r="V121" s="18" t="str">
        <f t="shared" si="25"/>
        <v/>
      </c>
      <c r="W121" s="18" t="str">
        <f>IF(E121="Y",PAR!$C$12,IF(J121="","",IF(J121&lt;11,PAR!$C$6,IF(J121&lt;50,PAR!$C$7,IF(J121&lt;60,PAR!$C$8,IF(J121&lt;70,PAR!$C$9,IF(J121&lt;80,PAR!$C$10,IF(J121&gt;79,PAR!$C$11,0))))))))</f>
        <v/>
      </c>
      <c r="X121" s="18" t="str">
        <f t="shared" si="26"/>
        <v/>
      </c>
      <c r="Y121" s="21" t="str">
        <f t="shared" si="27"/>
        <v/>
      </c>
      <c r="Z121" s="100" t="str">
        <f>IF(IFERROR(IF(E121="Y",(W121*(X121-PAR!$C$15)*Y121)*C121,IF(AA121&lt;&gt;"","See Comment",IFERROR(W121*X121*Y121*C121,"Fill all blue cells"))),"Fill all blue cells")&lt;0,0,(IFERROR(IF(E121="Y",(W121*(X121-PAR!$C$15)*Y121)*C121,IF(AA121&lt;&gt;"","See Comment",IFERROR(W121*X121*Y121*C121,"Fill all blue cells"))),"Fill all blue cells")))</f>
        <v>See Comment</v>
      </c>
      <c r="AA12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1" s="116" t="str">
        <f t="shared" si="35"/>
        <v/>
      </c>
      <c r="AC121" s="20" t="str">
        <f>IF(AND(E121="Y",D121&lt;PAR!C122),"Non bus miles are less than the minumum of 10 (see column D)",IF(AND(E121="Y",F121&lt;&gt;""),"Non Bus Miles",""))</f>
        <v/>
      </c>
      <c r="AD121" s="20" t="str">
        <f t="shared" si="36"/>
        <v/>
      </c>
      <c r="AE121" s="20" t="str">
        <f t="shared" si="28"/>
        <v>Fill Rated Capacity (see column J),</v>
      </c>
      <c r="AF121" s="20" t="str">
        <f t="shared" si="29"/>
        <v/>
      </c>
      <c r="AG121" s="20" t="str">
        <f t="shared" si="30"/>
        <v>Fill reimbursement % for this LE (see column C)</v>
      </c>
      <c r="AH121" s="20" t="str">
        <f t="shared" si="31"/>
        <v>This route has no eligible riders (see columns L:O)</v>
      </c>
      <c r="AI121" s="20" t="str">
        <f t="shared" si="32"/>
        <v>Fill miles per day (see column D)</v>
      </c>
      <c r="AJ121" s="20" t="str">
        <f t="shared" si="37"/>
        <v>Fill number of operating days (see column F)</v>
      </c>
      <c r="AK121" s="20" t="str">
        <f t="shared" si="38"/>
        <v>Fill Non-Bus Miles with Y or N (See column E)</v>
      </c>
      <c r="AL121" s="98" t="s">
        <v>422</v>
      </c>
      <c r="AM121" s="20" t="str">
        <f t="shared" si="39"/>
        <v/>
      </c>
    </row>
    <row r="122" spans="1:39" x14ac:dyDescent="0.75">
      <c r="A122" s="1" t="s">
        <v>207</v>
      </c>
      <c r="B122" s="130"/>
      <c r="C122" s="33"/>
      <c r="D122" s="41"/>
      <c r="E122" s="48"/>
      <c r="F122" s="45"/>
      <c r="G122" s="32"/>
      <c r="H122" s="16" t="s">
        <v>50</v>
      </c>
      <c r="I122" s="126"/>
      <c r="J122" s="32"/>
      <c r="K122" s="16" t="str">
        <f t="shared" si="23"/>
        <v/>
      </c>
      <c r="L122" s="37"/>
      <c r="M122" s="37"/>
      <c r="N122" s="37"/>
      <c r="O122" s="37"/>
      <c r="P122" s="16" t="str">
        <f t="shared" si="33"/>
        <v/>
      </c>
      <c r="Q122" s="37"/>
      <c r="R122" s="37"/>
      <c r="S122" s="37"/>
      <c r="T122" s="37"/>
      <c r="U122" s="16">
        <f t="shared" si="24"/>
        <v>0</v>
      </c>
      <c r="V122" s="16" t="str">
        <f t="shared" si="25"/>
        <v/>
      </c>
      <c r="W122" s="16" t="str">
        <f>IF(E122="Y",PAR!$C$12,IF(J122="","",IF(J122&lt;11,PAR!$C$6,IF(J122&lt;50,PAR!$C$7,IF(J122&lt;60,PAR!$C$8,IF(J122&lt;70,PAR!$C$9,IF(J122&lt;80,PAR!$C$10,IF(J122&gt;79,PAR!$C$11,0))))))))</f>
        <v/>
      </c>
      <c r="X122" s="16" t="str">
        <f t="shared" si="26"/>
        <v/>
      </c>
      <c r="Y122" s="22" t="str">
        <f t="shared" si="27"/>
        <v/>
      </c>
      <c r="Z122" s="100" t="str">
        <f>IF(IFERROR(IF(E122="Y",(W122*(X122-PAR!$C$15)*Y122)*C122,IF(AA122&lt;&gt;"","See Comment",IFERROR(W122*X122*Y122*C122,"Fill all blue cells"))),"Fill all blue cells")&lt;0,0,(IFERROR(IF(E122="Y",(W122*(X122-PAR!$C$15)*Y122)*C122,IF(AA122&lt;&gt;"","See Comment",IFERROR(W122*X122*Y122*C122,"Fill all blue cells"))),"Fill all blue cells")))</f>
        <v>See Comment</v>
      </c>
      <c r="AA12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2" s="116" t="str">
        <f t="shared" si="35"/>
        <v/>
      </c>
      <c r="AC122" s="20" t="str">
        <f>IF(AND(E122="Y",D122&lt;PAR!C123),"Non bus miles are less than the minumum of 10 (see column D)",IF(AND(E122="Y",F122&lt;&gt;""),"Non Bus Miles",""))</f>
        <v/>
      </c>
      <c r="AD122" s="20" t="str">
        <f t="shared" si="36"/>
        <v/>
      </c>
      <c r="AE122" s="20" t="str">
        <f t="shared" si="28"/>
        <v>Fill Rated Capacity (see column J),</v>
      </c>
      <c r="AF122" s="20" t="str">
        <f t="shared" si="29"/>
        <v/>
      </c>
      <c r="AG122" s="20" t="str">
        <f t="shared" si="30"/>
        <v>Fill reimbursement % for this LE (see column C)</v>
      </c>
      <c r="AH122" s="20" t="str">
        <f t="shared" si="31"/>
        <v>This route has no eligible riders (see columns L:O)</v>
      </c>
      <c r="AI122" s="20" t="str">
        <f t="shared" si="32"/>
        <v>Fill miles per day (see column D)</v>
      </c>
      <c r="AJ122" s="20" t="str">
        <f t="shared" si="37"/>
        <v>Fill number of operating days (see column F)</v>
      </c>
      <c r="AK122" s="20" t="str">
        <f t="shared" si="38"/>
        <v>Fill Non-Bus Miles with Y or N (See column E)</v>
      </c>
      <c r="AL122" s="98" t="s">
        <v>422</v>
      </c>
      <c r="AM122" s="20" t="str">
        <f t="shared" si="39"/>
        <v/>
      </c>
    </row>
    <row r="123" spans="1:39" x14ac:dyDescent="0.75">
      <c r="A123" s="1" t="s">
        <v>208</v>
      </c>
      <c r="B123" s="131"/>
      <c r="C123" s="36"/>
      <c r="D123" s="42"/>
      <c r="E123" s="47"/>
      <c r="F123" s="44"/>
      <c r="G123" s="35"/>
      <c r="H123" s="18" t="s">
        <v>50</v>
      </c>
      <c r="I123" s="125"/>
      <c r="J123" s="35"/>
      <c r="K123" s="18" t="str">
        <f t="shared" si="23"/>
        <v/>
      </c>
      <c r="L123" s="38"/>
      <c r="M123" s="38"/>
      <c r="N123" s="38"/>
      <c r="O123" s="38"/>
      <c r="P123" s="18" t="str">
        <f t="shared" si="33"/>
        <v/>
      </c>
      <c r="Q123" s="38"/>
      <c r="R123" s="38"/>
      <c r="S123" s="38"/>
      <c r="T123" s="38"/>
      <c r="U123" s="18">
        <f t="shared" si="24"/>
        <v>0</v>
      </c>
      <c r="V123" s="18" t="str">
        <f t="shared" si="25"/>
        <v/>
      </c>
      <c r="W123" s="18" t="str">
        <f>IF(E123="Y",PAR!$C$12,IF(J123="","",IF(J123&lt;11,PAR!$C$6,IF(J123&lt;50,PAR!$C$7,IF(J123&lt;60,PAR!$C$8,IF(J123&lt;70,PAR!$C$9,IF(J123&lt;80,PAR!$C$10,IF(J123&gt;79,PAR!$C$11,0))))))))</f>
        <v/>
      </c>
      <c r="X123" s="18" t="str">
        <f t="shared" si="26"/>
        <v/>
      </c>
      <c r="Y123" s="21" t="str">
        <f t="shared" si="27"/>
        <v/>
      </c>
      <c r="Z123" s="100" t="str">
        <f>IF(IFERROR(IF(E123="Y",(W123*(X123-PAR!$C$15)*Y123)*C123,IF(AA123&lt;&gt;"","See Comment",IFERROR(W123*X123*Y123*C123,"Fill all blue cells"))),"Fill all blue cells")&lt;0,0,(IFERROR(IF(E123="Y",(W123*(X123-PAR!$C$15)*Y123)*C123,IF(AA123&lt;&gt;"","See Comment",IFERROR(W123*X123*Y123*C123,"Fill all blue cells"))),"Fill all blue cells")))</f>
        <v>See Comment</v>
      </c>
      <c r="AA12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3" s="116" t="str">
        <f t="shared" si="35"/>
        <v/>
      </c>
      <c r="AC123" s="20" t="str">
        <f>IF(AND(E123="Y",D123&lt;PAR!C124),"Non bus miles are less than the minumum of 10 (see column D)",IF(AND(E123="Y",F123&lt;&gt;""),"Non Bus Miles",""))</f>
        <v/>
      </c>
      <c r="AD123" s="20" t="str">
        <f t="shared" si="36"/>
        <v/>
      </c>
      <c r="AE123" s="20" t="str">
        <f t="shared" si="28"/>
        <v>Fill Rated Capacity (see column J),</v>
      </c>
      <c r="AF123" s="20" t="str">
        <f t="shared" si="29"/>
        <v/>
      </c>
      <c r="AG123" s="20" t="str">
        <f t="shared" si="30"/>
        <v>Fill reimbursement % for this LE (see column C)</v>
      </c>
      <c r="AH123" s="20" t="str">
        <f t="shared" si="31"/>
        <v>This route has no eligible riders (see columns L:O)</v>
      </c>
      <c r="AI123" s="20" t="str">
        <f t="shared" si="32"/>
        <v>Fill miles per day (see column D)</v>
      </c>
      <c r="AJ123" s="20" t="str">
        <f t="shared" si="37"/>
        <v>Fill number of operating days (see column F)</v>
      </c>
      <c r="AK123" s="20" t="str">
        <f t="shared" si="38"/>
        <v>Fill Non-Bus Miles with Y or N (See column E)</v>
      </c>
      <c r="AL123" s="98" t="s">
        <v>422</v>
      </c>
      <c r="AM123" s="20" t="str">
        <f t="shared" si="39"/>
        <v/>
      </c>
    </row>
    <row r="124" spans="1:39" x14ac:dyDescent="0.75">
      <c r="A124" s="1" t="s">
        <v>209</v>
      </c>
      <c r="B124" s="130"/>
      <c r="C124" s="33"/>
      <c r="D124" s="41"/>
      <c r="E124" s="48"/>
      <c r="F124" s="45"/>
      <c r="G124" s="32"/>
      <c r="H124" s="16" t="s">
        <v>50</v>
      </c>
      <c r="I124" s="126"/>
      <c r="J124" s="32"/>
      <c r="K124" s="16" t="str">
        <f t="shared" si="23"/>
        <v/>
      </c>
      <c r="L124" s="37"/>
      <c r="M124" s="37"/>
      <c r="N124" s="37"/>
      <c r="O124" s="37"/>
      <c r="P124" s="16" t="str">
        <f t="shared" si="33"/>
        <v/>
      </c>
      <c r="Q124" s="37"/>
      <c r="R124" s="37"/>
      <c r="S124" s="37"/>
      <c r="T124" s="37"/>
      <c r="U124" s="16">
        <f t="shared" si="24"/>
        <v>0</v>
      </c>
      <c r="V124" s="16" t="str">
        <f t="shared" si="25"/>
        <v/>
      </c>
      <c r="W124" s="16" t="str">
        <f>IF(E124="Y",PAR!$C$12,IF(J124="","",IF(J124&lt;11,PAR!$C$6,IF(J124&lt;50,PAR!$C$7,IF(J124&lt;60,PAR!$C$8,IF(J124&lt;70,PAR!$C$9,IF(J124&lt;80,PAR!$C$10,IF(J124&gt;79,PAR!$C$11,0))))))))</f>
        <v/>
      </c>
      <c r="X124" s="16" t="str">
        <f t="shared" si="26"/>
        <v/>
      </c>
      <c r="Y124" s="22" t="str">
        <f t="shared" si="27"/>
        <v/>
      </c>
      <c r="Z124" s="100" t="str">
        <f>IF(IFERROR(IF(E124="Y",(W124*(X124-PAR!$C$15)*Y124)*C124,IF(AA124&lt;&gt;"","See Comment",IFERROR(W124*X124*Y124*C124,"Fill all blue cells"))),"Fill all blue cells")&lt;0,0,(IFERROR(IF(E124="Y",(W124*(X124-PAR!$C$15)*Y124)*C124,IF(AA124&lt;&gt;"","See Comment",IFERROR(W124*X124*Y124*C124,"Fill all blue cells"))),"Fill all blue cells")))</f>
        <v>See Comment</v>
      </c>
      <c r="AA12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4" s="116" t="str">
        <f t="shared" si="35"/>
        <v/>
      </c>
      <c r="AC124" s="20" t="str">
        <f>IF(AND(E124="Y",D124&lt;PAR!C125),"Non bus miles are less than the minumum of 10 (see column D)",IF(AND(E124="Y",F124&lt;&gt;""),"Non Bus Miles",""))</f>
        <v/>
      </c>
      <c r="AD124" s="20" t="str">
        <f t="shared" si="36"/>
        <v/>
      </c>
      <c r="AE124" s="20" t="str">
        <f t="shared" si="28"/>
        <v>Fill Rated Capacity (see column J),</v>
      </c>
      <c r="AF124" s="20" t="str">
        <f t="shared" si="29"/>
        <v/>
      </c>
      <c r="AG124" s="20" t="str">
        <f t="shared" si="30"/>
        <v>Fill reimbursement % for this LE (see column C)</v>
      </c>
      <c r="AH124" s="20" t="str">
        <f t="shared" si="31"/>
        <v>This route has no eligible riders (see columns L:O)</v>
      </c>
      <c r="AI124" s="20" t="str">
        <f t="shared" si="32"/>
        <v>Fill miles per day (see column D)</v>
      </c>
      <c r="AJ124" s="20" t="str">
        <f t="shared" si="37"/>
        <v>Fill number of operating days (see column F)</v>
      </c>
      <c r="AK124" s="20" t="str">
        <f t="shared" si="38"/>
        <v>Fill Non-Bus Miles with Y or N (See column E)</v>
      </c>
      <c r="AL124" s="98" t="s">
        <v>422</v>
      </c>
      <c r="AM124" s="20" t="str">
        <f t="shared" si="39"/>
        <v/>
      </c>
    </row>
    <row r="125" spans="1:39" x14ac:dyDescent="0.75">
      <c r="A125" s="1" t="s">
        <v>210</v>
      </c>
      <c r="B125" s="131"/>
      <c r="C125" s="36"/>
      <c r="D125" s="42"/>
      <c r="E125" s="47"/>
      <c r="F125" s="44"/>
      <c r="G125" s="35"/>
      <c r="H125" s="18" t="s">
        <v>50</v>
      </c>
      <c r="I125" s="125"/>
      <c r="J125" s="35"/>
      <c r="K125" s="18" t="str">
        <f t="shared" si="23"/>
        <v/>
      </c>
      <c r="L125" s="38"/>
      <c r="M125" s="38"/>
      <c r="N125" s="38"/>
      <c r="O125" s="38"/>
      <c r="P125" s="18" t="str">
        <f t="shared" si="33"/>
        <v/>
      </c>
      <c r="Q125" s="38"/>
      <c r="R125" s="38"/>
      <c r="S125" s="38"/>
      <c r="T125" s="38"/>
      <c r="U125" s="18">
        <f t="shared" si="24"/>
        <v>0</v>
      </c>
      <c r="V125" s="18" t="str">
        <f t="shared" si="25"/>
        <v/>
      </c>
      <c r="W125" s="18" t="str">
        <f>IF(E125="Y",PAR!$C$12,IF(J125="","",IF(J125&lt;11,PAR!$C$6,IF(J125&lt;50,PAR!$C$7,IF(J125&lt;60,PAR!$C$8,IF(J125&lt;70,PAR!$C$9,IF(J125&lt;80,PAR!$C$10,IF(J125&gt;79,PAR!$C$11,0))))))))</f>
        <v/>
      </c>
      <c r="X125" s="18" t="str">
        <f t="shared" si="26"/>
        <v/>
      </c>
      <c r="Y125" s="21" t="str">
        <f t="shared" si="27"/>
        <v/>
      </c>
      <c r="Z125" s="100" t="str">
        <f>IF(IFERROR(IF(E125="Y",(W125*(X125-PAR!$C$15)*Y125)*C125,IF(AA125&lt;&gt;"","See Comment",IFERROR(W125*X125*Y125*C125,"Fill all blue cells"))),"Fill all blue cells")&lt;0,0,(IFERROR(IF(E125="Y",(W125*(X125-PAR!$C$15)*Y125)*C125,IF(AA125&lt;&gt;"","See Comment",IFERROR(W125*X125*Y125*C125,"Fill all blue cells"))),"Fill all blue cells")))</f>
        <v>See Comment</v>
      </c>
      <c r="AA12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5" s="116" t="str">
        <f t="shared" si="35"/>
        <v/>
      </c>
      <c r="AC125" s="20" t="str">
        <f>IF(AND(E125="Y",D125&lt;PAR!C126),"Non bus miles are less than the minumum of 10 (see column D)",IF(AND(E125="Y",F125&lt;&gt;""),"Non Bus Miles",""))</f>
        <v/>
      </c>
      <c r="AD125" s="20" t="str">
        <f t="shared" si="36"/>
        <v/>
      </c>
      <c r="AE125" s="20" t="str">
        <f t="shared" si="28"/>
        <v>Fill Rated Capacity (see column J),</v>
      </c>
      <c r="AF125" s="20" t="str">
        <f t="shared" si="29"/>
        <v/>
      </c>
      <c r="AG125" s="20" t="str">
        <f t="shared" si="30"/>
        <v>Fill reimbursement % for this LE (see column C)</v>
      </c>
      <c r="AH125" s="20" t="str">
        <f t="shared" si="31"/>
        <v>This route has no eligible riders (see columns L:O)</v>
      </c>
      <c r="AI125" s="20" t="str">
        <f t="shared" si="32"/>
        <v>Fill miles per day (see column D)</v>
      </c>
      <c r="AJ125" s="20" t="str">
        <f t="shared" si="37"/>
        <v>Fill number of operating days (see column F)</v>
      </c>
      <c r="AK125" s="20" t="str">
        <f t="shared" si="38"/>
        <v>Fill Non-Bus Miles with Y or N (See column E)</v>
      </c>
      <c r="AL125" s="98" t="s">
        <v>422</v>
      </c>
      <c r="AM125" s="20" t="str">
        <f t="shared" si="39"/>
        <v/>
      </c>
    </row>
    <row r="126" spans="1:39" x14ac:dyDescent="0.75">
      <c r="A126" s="1" t="s">
        <v>211</v>
      </c>
      <c r="B126" s="130"/>
      <c r="C126" s="33"/>
      <c r="D126" s="41"/>
      <c r="E126" s="48"/>
      <c r="F126" s="45"/>
      <c r="G126" s="32"/>
      <c r="H126" s="16" t="s">
        <v>50</v>
      </c>
      <c r="I126" s="126"/>
      <c r="J126" s="32"/>
      <c r="K126" s="16" t="str">
        <f t="shared" si="23"/>
        <v/>
      </c>
      <c r="L126" s="37"/>
      <c r="M126" s="37"/>
      <c r="N126" s="37"/>
      <c r="O126" s="37"/>
      <c r="P126" s="16" t="str">
        <f t="shared" si="33"/>
        <v/>
      </c>
      <c r="Q126" s="37"/>
      <c r="R126" s="37"/>
      <c r="S126" s="37"/>
      <c r="T126" s="37"/>
      <c r="U126" s="16">
        <f t="shared" si="24"/>
        <v>0</v>
      </c>
      <c r="V126" s="16" t="str">
        <f t="shared" si="25"/>
        <v/>
      </c>
      <c r="W126" s="16" t="str">
        <f>IF(E126="Y",PAR!$C$12,IF(J126="","",IF(J126&lt;11,PAR!$C$6,IF(J126&lt;50,PAR!$C$7,IF(J126&lt;60,PAR!$C$8,IF(J126&lt;70,PAR!$C$9,IF(J126&lt;80,PAR!$C$10,IF(J126&gt;79,PAR!$C$11,0))))))))</f>
        <v/>
      </c>
      <c r="X126" s="16" t="str">
        <f t="shared" si="26"/>
        <v/>
      </c>
      <c r="Y126" s="22" t="str">
        <f t="shared" si="27"/>
        <v/>
      </c>
      <c r="Z126" s="100" t="str">
        <f>IF(IFERROR(IF(E126="Y",(W126*(X126-PAR!$C$15)*Y126)*C126,IF(AA126&lt;&gt;"","See Comment",IFERROR(W126*X126*Y126*C126,"Fill all blue cells"))),"Fill all blue cells")&lt;0,0,(IFERROR(IF(E126="Y",(W126*(X126-PAR!$C$15)*Y126)*C126,IF(AA126&lt;&gt;"","See Comment",IFERROR(W126*X126*Y126*C126,"Fill all blue cells"))),"Fill all blue cells")))</f>
        <v>See Comment</v>
      </c>
      <c r="AA12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6" s="116" t="str">
        <f t="shared" si="35"/>
        <v/>
      </c>
      <c r="AC126" s="20" t="str">
        <f>IF(AND(E126="Y",D126&lt;PAR!C127),"Non bus miles are less than the minumum of 10 (see column D)",IF(AND(E126="Y",F126&lt;&gt;""),"Non Bus Miles",""))</f>
        <v/>
      </c>
      <c r="AD126" s="20" t="str">
        <f t="shared" si="36"/>
        <v/>
      </c>
      <c r="AE126" s="20" t="str">
        <f t="shared" si="28"/>
        <v>Fill Rated Capacity (see column J),</v>
      </c>
      <c r="AF126" s="20" t="str">
        <f t="shared" si="29"/>
        <v/>
      </c>
      <c r="AG126" s="20" t="str">
        <f t="shared" si="30"/>
        <v>Fill reimbursement % for this LE (see column C)</v>
      </c>
      <c r="AH126" s="20" t="str">
        <f t="shared" si="31"/>
        <v>This route has no eligible riders (see columns L:O)</v>
      </c>
      <c r="AI126" s="20" t="str">
        <f t="shared" si="32"/>
        <v>Fill miles per day (see column D)</v>
      </c>
      <c r="AJ126" s="20" t="str">
        <f t="shared" si="37"/>
        <v>Fill number of operating days (see column F)</v>
      </c>
      <c r="AK126" s="20" t="str">
        <f t="shared" si="38"/>
        <v>Fill Non-Bus Miles with Y or N (See column E)</v>
      </c>
      <c r="AL126" s="98" t="s">
        <v>422</v>
      </c>
      <c r="AM126" s="20" t="str">
        <f t="shared" si="39"/>
        <v/>
      </c>
    </row>
    <row r="127" spans="1:39" x14ac:dyDescent="0.75">
      <c r="A127" s="1" t="s">
        <v>212</v>
      </c>
      <c r="B127" s="131"/>
      <c r="C127" s="36"/>
      <c r="D127" s="42"/>
      <c r="E127" s="47"/>
      <c r="F127" s="44"/>
      <c r="G127" s="35"/>
      <c r="H127" s="18" t="s">
        <v>50</v>
      </c>
      <c r="I127" s="125"/>
      <c r="J127" s="35"/>
      <c r="K127" s="18" t="str">
        <f t="shared" si="23"/>
        <v/>
      </c>
      <c r="L127" s="38"/>
      <c r="M127" s="38"/>
      <c r="N127" s="38"/>
      <c r="O127" s="38"/>
      <c r="P127" s="18" t="str">
        <f t="shared" si="33"/>
        <v/>
      </c>
      <c r="Q127" s="38"/>
      <c r="R127" s="38"/>
      <c r="S127" s="38"/>
      <c r="T127" s="38"/>
      <c r="U127" s="18">
        <f t="shared" si="24"/>
        <v>0</v>
      </c>
      <c r="V127" s="18" t="str">
        <f t="shared" si="25"/>
        <v/>
      </c>
      <c r="W127" s="18" t="str">
        <f>IF(E127="Y",PAR!$C$12,IF(J127="","",IF(J127&lt;11,PAR!$C$6,IF(J127&lt;50,PAR!$C$7,IF(J127&lt;60,PAR!$C$8,IF(J127&lt;70,PAR!$C$9,IF(J127&lt;80,PAR!$C$10,IF(J127&gt;79,PAR!$C$11,0))))))))</f>
        <v/>
      </c>
      <c r="X127" s="18" t="str">
        <f t="shared" si="26"/>
        <v/>
      </c>
      <c r="Y127" s="21" t="str">
        <f t="shared" si="27"/>
        <v/>
      </c>
      <c r="Z127" s="100" t="str">
        <f>IF(IFERROR(IF(E127="Y",(W127*(X127-PAR!$C$15)*Y127)*C127,IF(AA127&lt;&gt;"","See Comment",IFERROR(W127*X127*Y127*C127,"Fill all blue cells"))),"Fill all blue cells")&lt;0,0,(IFERROR(IF(E127="Y",(W127*(X127-PAR!$C$15)*Y127)*C127,IF(AA127&lt;&gt;"","See Comment",IFERROR(W127*X127*Y127*C127,"Fill all blue cells"))),"Fill all blue cells")))</f>
        <v>See Comment</v>
      </c>
      <c r="AA12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7" s="116" t="str">
        <f t="shared" si="35"/>
        <v/>
      </c>
      <c r="AC127" s="20" t="str">
        <f>IF(AND(E127="Y",D127&lt;PAR!C128),"Non bus miles are less than the minumum of 10 (see column D)",IF(AND(E127="Y",F127&lt;&gt;""),"Non Bus Miles",""))</f>
        <v/>
      </c>
      <c r="AD127" s="20" t="str">
        <f t="shared" si="36"/>
        <v/>
      </c>
      <c r="AE127" s="20" t="str">
        <f t="shared" si="28"/>
        <v>Fill Rated Capacity (see column J),</v>
      </c>
      <c r="AF127" s="20" t="str">
        <f t="shared" si="29"/>
        <v/>
      </c>
      <c r="AG127" s="20" t="str">
        <f t="shared" si="30"/>
        <v>Fill reimbursement % for this LE (see column C)</v>
      </c>
      <c r="AH127" s="20" t="str">
        <f t="shared" si="31"/>
        <v>This route has no eligible riders (see columns L:O)</v>
      </c>
      <c r="AI127" s="20" t="str">
        <f t="shared" si="32"/>
        <v>Fill miles per day (see column D)</v>
      </c>
      <c r="AJ127" s="20" t="str">
        <f t="shared" si="37"/>
        <v>Fill number of operating days (see column F)</v>
      </c>
      <c r="AK127" s="20" t="str">
        <f t="shared" si="38"/>
        <v>Fill Non-Bus Miles with Y or N (See column E)</v>
      </c>
      <c r="AL127" s="98" t="s">
        <v>422</v>
      </c>
      <c r="AM127" s="20" t="str">
        <f t="shared" si="39"/>
        <v/>
      </c>
    </row>
    <row r="128" spans="1:39" x14ac:dyDescent="0.75">
      <c r="A128" s="1" t="s">
        <v>213</v>
      </c>
      <c r="B128" s="130"/>
      <c r="C128" s="33"/>
      <c r="D128" s="41"/>
      <c r="E128" s="48"/>
      <c r="F128" s="45"/>
      <c r="G128" s="32"/>
      <c r="H128" s="16" t="s">
        <v>50</v>
      </c>
      <c r="I128" s="126"/>
      <c r="J128" s="32"/>
      <c r="K128" s="16" t="str">
        <f t="shared" si="23"/>
        <v/>
      </c>
      <c r="L128" s="37"/>
      <c r="M128" s="37"/>
      <c r="N128" s="37"/>
      <c r="O128" s="37"/>
      <c r="P128" s="16" t="str">
        <f t="shared" si="33"/>
        <v/>
      </c>
      <c r="Q128" s="37"/>
      <c r="R128" s="37"/>
      <c r="S128" s="37"/>
      <c r="T128" s="37"/>
      <c r="U128" s="16">
        <f t="shared" si="24"/>
        <v>0</v>
      </c>
      <c r="V128" s="16" t="str">
        <f t="shared" si="25"/>
        <v/>
      </c>
      <c r="W128" s="16" t="str">
        <f>IF(E128="Y",PAR!$C$12,IF(J128="","",IF(J128&lt;11,PAR!$C$6,IF(J128&lt;50,PAR!$C$7,IF(J128&lt;60,PAR!$C$8,IF(J128&lt;70,PAR!$C$9,IF(J128&lt;80,PAR!$C$10,IF(J128&gt;79,PAR!$C$11,0))))))))</f>
        <v/>
      </c>
      <c r="X128" s="16" t="str">
        <f t="shared" si="26"/>
        <v/>
      </c>
      <c r="Y128" s="22" t="str">
        <f t="shared" si="27"/>
        <v/>
      </c>
      <c r="Z128" s="100" t="str">
        <f>IF(IFERROR(IF(E128="Y",(W128*(X128-PAR!$C$15)*Y128)*C128,IF(AA128&lt;&gt;"","See Comment",IFERROR(W128*X128*Y128*C128,"Fill all blue cells"))),"Fill all blue cells")&lt;0,0,(IFERROR(IF(E128="Y",(W128*(X128-PAR!$C$15)*Y128)*C128,IF(AA128&lt;&gt;"","See Comment",IFERROR(W128*X128*Y128*C128,"Fill all blue cells"))),"Fill all blue cells")))</f>
        <v>See Comment</v>
      </c>
      <c r="AA12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8" s="116" t="str">
        <f t="shared" si="35"/>
        <v/>
      </c>
      <c r="AC128" s="20" t="str">
        <f>IF(AND(E128="Y",D128&lt;PAR!C129),"Non bus miles are less than the minumum of 10 (see column D)",IF(AND(E128="Y",F128&lt;&gt;""),"Non Bus Miles",""))</f>
        <v/>
      </c>
      <c r="AD128" s="20" t="str">
        <f t="shared" si="36"/>
        <v/>
      </c>
      <c r="AE128" s="20" t="str">
        <f t="shared" si="28"/>
        <v>Fill Rated Capacity (see column J),</v>
      </c>
      <c r="AF128" s="20" t="str">
        <f t="shared" si="29"/>
        <v/>
      </c>
      <c r="AG128" s="20" t="str">
        <f t="shared" si="30"/>
        <v>Fill reimbursement % for this LE (see column C)</v>
      </c>
      <c r="AH128" s="20" t="str">
        <f t="shared" si="31"/>
        <v>This route has no eligible riders (see columns L:O)</v>
      </c>
      <c r="AI128" s="20" t="str">
        <f t="shared" si="32"/>
        <v>Fill miles per day (see column D)</v>
      </c>
      <c r="AJ128" s="20" t="str">
        <f t="shared" si="37"/>
        <v>Fill number of operating days (see column F)</v>
      </c>
      <c r="AK128" s="20" t="str">
        <f t="shared" si="38"/>
        <v>Fill Non-Bus Miles with Y or N (See column E)</v>
      </c>
      <c r="AL128" s="98" t="s">
        <v>422</v>
      </c>
      <c r="AM128" s="20" t="str">
        <f t="shared" si="39"/>
        <v/>
      </c>
    </row>
    <row r="129" spans="1:39" x14ac:dyDescent="0.75">
      <c r="A129" s="1" t="s">
        <v>214</v>
      </c>
      <c r="B129" s="131"/>
      <c r="C129" s="36"/>
      <c r="D129" s="42"/>
      <c r="E129" s="47"/>
      <c r="F129" s="44"/>
      <c r="G129" s="35"/>
      <c r="H129" s="18" t="s">
        <v>50</v>
      </c>
      <c r="I129" s="125"/>
      <c r="J129" s="35"/>
      <c r="K129" s="18" t="str">
        <f t="shared" si="23"/>
        <v/>
      </c>
      <c r="L129" s="38"/>
      <c r="M129" s="38"/>
      <c r="N129" s="38"/>
      <c r="O129" s="38"/>
      <c r="P129" s="18" t="str">
        <f t="shared" si="33"/>
        <v/>
      </c>
      <c r="Q129" s="38"/>
      <c r="R129" s="38"/>
      <c r="S129" s="38"/>
      <c r="T129" s="38"/>
      <c r="U129" s="18">
        <f t="shared" si="24"/>
        <v>0</v>
      </c>
      <c r="V129" s="18" t="str">
        <f t="shared" si="25"/>
        <v/>
      </c>
      <c r="W129" s="18" t="str">
        <f>IF(E129="Y",PAR!$C$12,IF(J129="","",IF(J129&lt;11,PAR!$C$6,IF(J129&lt;50,PAR!$C$7,IF(J129&lt;60,PAR!$C$8,IF(J129&lt;70,PAR!$C$9,IF(J129&lt;80,PAR!$C$10,IF(J129&gt;79,PAR!$C$11,0))))))))</f>
        <v/>
      </c>
      <c r="X129" s="18" t="str">
        <f t="shared" si="26"/>
        <v/>
      </c>
      <c r="Y129" s="21" t="str">
        <f t="shared" si="27"/>
        <v/>
      </c>
      <c r="Z129" s="100" t="str">
        <f>IF(IFERROR(IF(E129="Y",(W129*(X129-PAR!$C$15)*Y129)*C129,IF(AA129&lt;&gt;"","See Comment",IFERROR(W129*X129*Y129*C129,"Fill all blue cells"))),"Fill all blue cells")&lt;0,0,(IFERROR(IF(E129="Y",(W129*(X129-PAR!$C$15)*Y129)*C129,IF(AA129&lt;&gt;"","See Comment",IFERROR(W129*X129*Y129*C129,"Fill all blue cells"))),"Fill all blue cells")))</f>
        <v>See Comment</v>
      </c>
      <c r="AA12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9" s="116" t="str">
        <f t="shared" si="35"/>
        <v/>
      </c>
      <c r="AC129" s="20" t="str">
        <f>IF(AND(E129="Y",D129&lt;PAR!C130),"Non bus miles are less than the minumum of 10 (see column D)",IF(AND(E129="Y",F129&lt;&gt;""),"Non Bus Miles",""))</f>
        <v/>
      </c>
      <c r="AD129" s="20" t="str">
        <f t="shared" si="36"/>
        <v/>
      </c>
      <c r="AE129" s="20" t="str">
        <f t="shared" si="28"/>
        <v>Fill Rated Capacity (see column J),</v>
      </c>
      <c r="AF129" s="20" t="str">
        <f t="shared" si="29"/>
        <v/>
      </c>
      <c r="AG129" s="20" t="str">
        <f t="shared" si="30"/>
        <v>Fill reimbursement % for this LE (see column C)</v>
      </c>
      <c r="AH129" s="20" t="str">
        <f t="shared" si="31"/>
        <v>This route has no eligible riders (see columns L:O)</v>
      </c>
      <c r="AI129" s="20" t="str">
        <f t="shared" si="32"/>
        <v>Fill miles per day (see column D)</v>
      </c>
      <c r="AJ129" s="20" t="str">
        <f t="shared" si="37"/>
        <v>Fill number of operating days (see column F)</v>
      </c>
      <c r="AK129" s="20" t="str">
        <f t="shared" si="38"/>
        <v>Fill Non-Bus Miles with Y or N (See column E)</v>
      </c>
      <c r="AL129" s="98" t="s">
        <v>422</v>
      </c>
      <c r="AM129" s="20" t="str">
        <f t="shared" si="39"/>
        <v/>
      </c>
    </row>
    <row r="130" spans="1:39" x14ac:dyDescent="0.75">
      <c r="A130" s="1" t="s">
        <v>215</v>
      </c>
      <c r="B130" s="130"/>
      <c r="C130" s="33"/>
      <c r="D130" s="41"/>
      <c r="E130" s="48"/>
      <c r="F130" s="45"/>
      <c r="G130" s="32"/>
      <c r="H130" s="16" t="s">
        <v>50</v>
      </c>
      <c r="I130" s="126"/>
      <c r="J130" s="32"/>
      <c r="K130" s="16" t="str">
        <f t="shared" si="23"/>
        <v/>
      </c>
      <c r="L130" s="37"/>
      <c r="M130" s="37"/>
      <c r="N130" s="37"/>
      <c r="O130" s="37"/>
      <c r="P130" s="16" t="str">
        <f t="shared" si="33"/>
        <v/>
      </c>
      <c r="Q130" s="37"/>
      <c r="R130" s="37"/>
      <c r="S130" s="37"/>
      <c r="T130" s="37"/>
      <c r="U130" s="16">
        <f t="shared" si="24"/>
        <v>0</v>
      </c>
      <c r="V130" s="16" t="str">
        <f t="shared" si="25"/>
        <v/>
      </c>
      <c r="W130" s="16" t="str">
        <f>IF(E130="Y",PAR!$C$12,IF(J130="","",IF(J130&lt;11,PAR!$C$6,IF(J130&lt;50,PAR!$C$7,IF(J130&lt;60,PAR!$C$8,IF(J130&lt;70,PAR!$C$9,IF(J130&lt;80,PAR!$C$10,IF(J130&gt;79,PAR!$C$11,0))))))))</f>
        <v/>
      </c>
      <c r="X130" s="16" t="str">
        <f t="shared" si="26"/>
        <v/>
      </c>
      <c r="Y130" s="22" t="str">
        <f t="shared" si="27"/>
        <v/>
      </c>
      <c r="Z130" s="100" t="str">
        <f>IF(IFERROR(IF(E130="Y",(W130*(X130-PAR!$C$15)*Y130)*C130,IF(AA130&lt;&gt;"","See Comment",IFERROR(W130*X130*Y130*C130,"Fill all blue cells"))),"Fill all blue cells")&lt;0,0,(IFERROR(IF(E130="Y",(W130*(X130-PAR!$C$15)*Y130)*C130,IF(AA130&lt;&gt;"","See Comment",IFERROR(W130*X130*Y130*C130,"Fill all blue cells"))),"Fill all blue cells")))</f>
        <v>See Comment</v>
      </c>
      <c r="AA13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0" s="116" t="str">
        <f t="shared" si="35"/>
        <v/>
      </c>
      <c r="AC130" s="20" t="str">
        <f>IF(AND(E130="Y",D130&lt;PAR!C131),"Non bus miles are less than the minumum of 10 (see column D)",IF(AND(E130="Y",F130&lt;&gt;""),"Non Bus Miles",""))</f>
        <v/>
      </c>
      <c r="AD130" s="20" t="str">
        <f t="shared" si="36"/>
        <v/>
      </c>
      <c r="AE130" s="20" t="str">
        <f t="shared" si="28"/>
        <v>Fill Rated Capacity (see column J),</v>
      </c>
      <c r="AF130" s="20" t="str">
        <f t="shared" si="29"/>
        <v/>
      </c>
      <c r="AG130" s="20" t="str">
        <f t="shared" si="30"/>
        <v>Fill reimbursement % for this LE (see column C)</v>
      </c>
      <c r="AH130" s="20" t="str">
        <f t="shared" si="31"/>
        <v>This route has no eligible riders (see columns L:O)</v>
      </c>
      <c r="AI130" s="20" t="str">
        <f t="shared" si="32"/>
        <v>Fill miles per day (see column D)</v>
      </c>
      <c r="AJ130" s="20" t="str">
        <f t="shared" si="37"/>
        <v>Fill number of operating days (see column F)</v>
      </c>
      <c r="AK130" s="20" t="str">
        <f t="shared" si="38"/>
        <v>Fill Non-Bus Miles with Y or N (See column E)</v>
      </c>
      <c r="AL130" s="98" t="s">
        <v>422</v>
      </c>
      <c r="AM130" s="20" t="str">
        <f t="shared" si="39"/>
        <v/>
      </c>
    </row>
    <row r="131" spans="1:39" x14ac:dyDescent="0.75">
      <c r="A131" s="1" t="s">
        <v>216</v>
      </c>
      <c r="B131" s="130"/>
      <c r="C131" s="36"/>
      <c r="D131" s="42"/>
      <c r="E131" s="47"/>
      <c r="F131" s="44"/>
      <c r="G131" s="35"/>
      <c r="H131" s="18" t="s">
        <v>50</v>
      </c>
      <c r="I131" s="125"/>
      <c r="J131" s="35"/>
      <c r="K131" s="18" t="str">
        <f t="shared" si="23"/>
        <v/>
      </c>
      <c r="L131" s="38"/>
      <c r="M131" s="38"/>
      <c r="N131" s="38"/>
      <c r="O131" s="38"/>
      <c r="P131" s="18" t="str">
        <f t="shared" si="33"/>
        <v/>
      </c>
      <c r="Q131" s="38"/>
      <c r="R131" s="38"/>
      <c r="S131" s="38"/>
      <c r="T131" s="38"/>
      <c r="U131" s="18">
        <f t="shared" si="24"/>
        <v>0</v>
      </c>
      <c r="V131" s="18" t="str">
        <f t="shared" si="25"/>
        <v/>
      </c>
      <c r="W131" s="18" t="str">
        <f>IF(E131="Y",PAR!$C$12,IF(J131="","",IF(J131&lt;11,PAR!$C$6,IF(J131&lt;50,PAR!$C$7,IF(J131&lt;60,PAR!$C$8,IF(J131&lt;70,PAR!$C$9,IF(J131&lt;80,PAR!$C$10,IF(J131&gt;79,PAR!$C$11,0))))))))</f>
        <v/>
      </c>
      <c r="X131" s="18" t="str">
        <f t="shared" si="26"/>
        <v/>
      </c>
      <c r="Y131" s="21" t="str">
        <f t="shared" si="27"/>
        <v/>
      </c>
      <c r="Z131" s="100" t="str">
        <f>IF(IFERROR(IF(E131="Y",(W131*(X131-PAR!$C$15)*Y131)*C131,IF(AA131&lt;&gt;"","See Comment",IFERROR(W131*X131*Y131*C131,"Fill all blue cells"))),"Fill all blue cells")&lt;0,0,(IFERROR(IF(E131="Y",(W131*(X131-PAR!$C$15)*Y131)*C131,IF(AA131&lt;&gt;"","See Comment",IFERROR(W131*X131*Y131*C131,"Fill all blue cells"))),"Fill all blue cells")))</f>
        <v>See Comment</v>
      </c>
      <c r="AA13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1" s="116" t="str">
        <f t="shared" si="35"/>
        <v/>
      </c>
      <c r="AC131" s="20" t="str">
        <f>IF(AND(E131="Y",D131&lt;PAR!C132),"Non bus miles are less than the minumum of 10 (see column D)",IF(AND(E131="Y",F131&lt;&gt;""),"Non Bus Miles",""))</f>
        <v/>
      </c>
      <c r="AD131" s="20" t="str">
        <f t="shared" si="36"/>
        <v/>
      </c>
      <c r="AE131" s="20" t="str">
        <f t="shared" si="28"/>
        <v>Fill Rated Capacity (see column J),</v>
      </c>
      <c r="AF131" s="20" t="str">
        <f t="shared" si="29"/>
        <v/>
      </c>
      <c r="AG131" s="20" t="str">
        <f t="shared" si="30"/>
        <v>Fill reimbursement % for this LE (see column C)</v>
      </c>
      <c r="AH131" s="20" t="str">
        <f t="shared" si="31"/>
        <v>This route has no eligible riders (see columns L:O)</v>
      </c>
      <c r="AI131" s="20" t="str">
        <f t="shared" si="32"/>
        <v>Fill miles per day (see column D)</v>
      </c>
      <c r="AJ131" s="20" t="str">
        <f t="shared" si="37"/>
        <v>Fill number of operating days (see column F)</v>
      </c>
      <c r="AK131" s="20" t="str">
        <f t="shared" si="38"/>
        <v>Fill Non-Bus Miles with Y or N (See column E)</v>
      </c>
      <c r="AL131" s="98" t="s">
        <v>422</v>
      </c>
      <c r="AM131" s="20" t="str">
        <f t="shared" si="39"/>
        <v/>
      </c>
    </row>
    <row r="132" spans="1:39" x14ac:dyDescent="0.75">
      <c r="A132" s="1" t="s">
        <v>217</v>
      </c>
      <c r="B132" s="130"/>
      <c r="C132" s="33"/>
      <c r="D132" s="41"/>
      <c r="E132" s="48"/>
      <c r="F132" s="45"/>
      <c r="G132" s="32"/>
      <c r="H132" s="16" t="s">
        <v>50</v>
      </c>
      <c r="I132" s="126"/>
      <c r="J132" s="32"/>
      <c r="K132" s="16" t="str">
        <f t="shared" si="23"/>
        <v/>
      </c>
      <c r="L132" s="37"/>
      <c r="M132" s="37"/>
      <c r="N132" s="37"/>
      <c r="O132" s="37"/>
      <c r="P132" s="16" t="str">
        <f t="shared" si="33"/>
        <v/>
      </c>
      <c r="Q132" s="37"/>
      <c r="R132" s="37"/>
      <c r="S132" s="37"/>
      <c r="T132" s="37"/>
      <c r="U132" s="16">
        <f t="shared" si="24"/>
        <v>0</v>
      </c>
      <c r="V132" s="16" t="str">
        <f t="shared" si="25"/>
        <v/>
      </c>
      <c r="W132" s="16" t="str">
        <f>IF(E132="Y",PAR!$C$12,IF(J132="","",IF(J132&lt;11,PAR!$C$6,IF(J132&lt;50,PAR!$C$7,IF(J132&lt;60,PAR!$C$8,IF(J132&lt;70,PAR!$C$9,IF(J132&lt;80,PAR!$C$10,IF(J132&gt;79,PAR!$C$11,0))))))))</f>
        <v/>
      </c>
      <c r="X132" s="16" t="str">
        <f t="shared" si="26"/>
        <v/>
      </c>
      <c r="Y132" s="22" t="str">
        <f t="shared" si="27"/>
        <v/>
      </c>
      <c r="Z132" s="100" t="str">
        <f>IF(IFERROR(IF(E132="Y",(W132*(X132-PAR!$C$15)*Y132)*C132,IF(AA132&lt;&gt;"","See Comment",IFERROR(W132*X132*Y132*C132,"Fill all blue cells"))),"Fill all blue cells")&lt;0,0,(IFERROR(IF(E132="Y",(W132*(X132-PAR!$C$15)*Y132)*C132,IF(AA132&lt;&gt;"","See Comment",IFERROR(W132*X132*Y132*C132,"Fill all blue cells"))),"Fill all blue cells")))</f>
        <v>See Comment</v>
      </c>
      <c r="AA13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2" s="116" t="str">
        <f t="shared" si="35"/>
        <v/>
      </c>
      <c r="AC132" s="20" t="str">
        <f>IF(AND(E132="Y",D132&lt;PAR!C133),"Non bus miles are less than the minumum of 10 (see column D)",IF(AND(E132="Y",F132&lt;&gt;""),"Non Bus Miles",""))</f>
        <v/>
      </c>
      <c r="AD132" s="20" t="str">
        <f t="shared" si="36"/>
        <v/>
      </c>
      <c r="AE132" s="20" t="str">
        <f t="shared" si="28"/>
        <v>Fill Rated Capacity (see column J),</v>
      </c>
      <c r="AF132" s="20" t="str">
        <f t="shared" si="29"/>
        <v/>
      </c>
      <c r="AG132" s="20" t="str">
        <f t="shared" si="30"/>
        <v>Fill reimbursement % for this LE (see column C)</v>
      </c>
      <c r="AH132" s="20" t="str">
        <f t="shared" si="31"/>
        <v>This route has no eligible riders (see columns L:O)</v>
      </c>
      <c r="AI132" s="20" t="str">
        <f t="shared" si="32"/>
        <v>Fill miles per day (see column D)</v>
      </c>
      <c r="AJ132" s="20" t="str">
        <f t="shared" si="37"/>
        <v>Fill number of operating days (see column F)</v>
      </c>
      <c r="AK132" s="20" t="str">
        <f t="shared" si="38"/>
        <v>Fill Non-Bus Miles with Y or N (See column E)</v>
      </c>
      <c r="AL132" s="98" t="s">
        <v>422</v>
      </c>
      <c r="AM132" s="20" t="str">
        <f t="shared" si="39"/>
        <v/>
      </c>
    </row>
    <row r="133" spans="1:39" x14ac:dyDescent="0.75">
      <c r="A133" s="1" t="s">
        <v>218</v>
      </c>
      <c r="B133" s="130"/>
      <c r="C133" s="36"/>
      <c r="D133" s="42"/>
      <c r="E133" s="47"/>
      <c r="F133" s="44"/>
      <c r="G133" s="35"/>
      <c r="H133" s="18" t="s">
        <v>50</v>
      </c>
      <c r="I133" s="125"/>
      <c r="J133" s="35"/>
      <c r="K133" s="18" t="str">
        <f t="shared" si="23"/>
        <v/>
      </c>
      <c r="L133" s="38"/>
      <c r="M133" s="38"/>
      <c r="N133" s="38"/>
      <c r="O133" s="38"/>
      <c r="P133" s="18" t="str">
        <f t="shared" si="33"/>
        <v/>
      </c>
      <c r="Q133" s="38"/>
      <c r="R133" s="38"/>
      <c r="S133" s="38"/>
      <c r="T133" s="38"/>
      <c r="U133" s="18">
        <f t="shared" si="24"/>
        <v>0</v>
      </c>
      <c r="V133" s="18" t="str">
        <f t="shared" si="25"/>
        <v/>
      </c>
      <c r="W133" s="18" t="str">
        <f>IF(E133="Y",PAR!$C$12,IF(J133="","",IF(J133&lt;11,PAR!$C$6,IF(J133&lt;50,PAR!$C$7,IF(J133&lt;60,PAR!$C$8,IF(J133&lt;70,PAR!$C$9,IF(J133&lt;80,PAR!$C$10,IF(J133&gt;79,PAR!$C$11,0))))))))</f>
        <v/>
      </c>
      <c r="X133" s="18" t="str">
        <f t="shared" si="26"/>
        <v/>
      </c>
      <c r="Y133" s="21" t="str">
        <f t="shared" si="27"/>
        <v/>
      </c>
      <c r="Z133" s="100" t="str">
        <f>IF(IFERROR(IF(E133="Y",(W133*(X133-PAR!$C$15)*Y133)*C133,IF(AA133&lt;&gt;"","See Comment",IFERROR(W133*X133*Y133*C133,"Fill all blue cells"))),"Fill all blue cells")&lt;0,0,(IFERROR(IF(E133="Y",(W133*(X133-PAR!$C$15)*Y133)*C133,IF(AA133&lt;&gt;"","See Comment",IFERROR(W133*X133*Y133*C133,"Fill all blue cells"))),"Fill all blue cells")))</f>
        <v>See Comment</v>
      </c>
      <c r="AA13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3" s="116" t="str">
        <f t="shared" si="35"/>
        <v/>
      </c>
      <c r="AC133" s="20" t="str">
        <f>IF(AND(E133="Y",D133&lt;PAR!C134),"Non bus miles are less than the minumum of 10 (see column D)",IF(AND(E133="Y",F133&lt;&gt;""),"Non Bus Miles",""))</f>
        <v/>
      </c>
      <c r="AD133" s="20" t="str">
        <f t="shared" si="36"/>
        <v/>
      </c>
      <c r="AE133" s="20" t="str">
        <f t="shared" si="28"/>
        <v>Fill Rated Capacity (see column J),</v>
      </c>
      <c r="AF133" s="20" t="str">
        <f t="shared" si="29"/>
        <v/>
      </c>
      <c r="AG133" s="20" t="str">
        <f t="shared" si="30"/>
        <v>Fill reimbursement % for this LE (see column C)</v>
      </c>
      <c r="AH133" s="20" t="str">
        <f t="shared" si="31"/>
        <v>This route has no eligible riders (see columns L:O)</v>
      </c>
      <c r="AI133" s="20" t="str">
        <f t="shared" si="32"/>
        <v>Fill miles per day (see column D)</v>
      </c>
      <c r="AJ133" s="20" t="str">
        <f t="shared" si="37"/>
        <v>Fill number of operating days (see column F)</v>
      </c>
      <c r="AK133" s="20" t="str">
        <f t="shared" si="38"/>
        <v>Fill Non-Bus Miles with Y or N (See column E)</v>
      </c>
      <c r="AL133" s="98" t="s">
        <v>422</v>
      </c>
      <c r="AM133" s="20" t="str">
        <f t="shared" si="39"/>
        <v/>
      </c>
    </row>
    <row r="134" spans="1:39" x14ac:dyDescent="0.75">
      <c r="A134" s="1" t="s">
        <v>219</v>
      </c>
      <c r="B134" s="130"/>
      <c r="C134" s="33"/>
      <c r="D134" s="41"/>
      <c r="E134" s="48"/>
      <c r="F134" s="45"/>
      <c r="G134" s="32"/>
      <c r="H134" s="16" t="s">
        <v>50</v>
      </c>
      <c r="I134" s="126"/>
      <c r="J134" s="32"/>
      <c r="K134" s="16" t="str">
        <f t="shared" si="23"/>
        <v/>
      </c>
      <c r="L134" s="37"/>
      <c r="M134" s="37"/>
      <c r="N134" s="37"/>
      <c r="O134" s="37"/>
      <c r="P134" s="16" t="str">
        <f t="shared" si="33"/>
        <v/>
      </c>
      <c r="Q134" s="37"/>
      <c r="R134" s="37"/>
      <c r="S134" s="37"/>
      <c r="T134" s="37"/>
      <c r="U134" s="16">
        <f t="shared" si="24"/>
        <v>0</v>
      </c>
      <c r="V134" s="16" t="str">
        <f t="shared" si="25"/>
        <v/>
      </c>
      <c r="W134" s="16" t="str">
        <f>IF(E134="Y",PAR!$C$12,IF(J134="","",IF(J134&lt;11,PAR!$C$6,IF(J134&lt;50,PAR!$C$7,IF(J134&lt;60,PAR!$C$8,IF(J134&lt;70,PAR!$C$9,IF(J134&lt;80,PAR!$C$10,IF(J134&gt;79,PAR!$C$11,0))))))))</f>
        <v/>
      </c>
      <c r="X134" s="16" t="str">
        <f t="shared" si="26"/>
        <v/>
      </c>
      <c r="Y134" s="22" t="str">
        <f t="shared" si="27"/>
        <v/>
      </c>
      <c r="Z134" s="100" t="str">
        <f>IF(IFERROR(IF(E134="Y",(W134*(X134-PAR!$C$15)*Y134)*C134,IF(AA134&lt;&gt;"","See Comment",IFERROR(W134*X134*Y134*C134,"Fill all blue cells"))),"Fill all blue cells")&lt;0,0,(IFERROR(IF(E134="Y",(W134*(X134-PAR!$C$15)*Y134)*C134,IF(AA134&lt;&gt;"","See Comment",IFERROR(W134*X134*Y134*C134,"Fill all blue cells"))),"Fill all blue cells")))</f>
        <v>See Comment</v>
      </c>
      <c r="AA13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4" s="116" t="str">
        <f t="shared" si="35"/>
        <v/>
      </c>
      <c r="AC134" s="20" t="str">
        <f>IF(AND(E134="Y",D134&lt;PAR!C135),"Non bus miles are less than the minumum of 10 (see column D)",IF(AND(E134="Y",F134&lt;&gt;""),"Non Bus Miles",""))</f>
        <v/>
      </c>
      <c r="AD134" s="20" t="str">
        <f t="shared" si="36"/>
        <v/>
      </c>
      <c r="AE134" s="20" t="str">
        <f t="shared" si="28"/>
        <v>Fill Rated Capacity (see column J),</v>
      </c>
      <c r="AF134" s="20" t="str">
        <f t="shared" si="29"/>
        <v/>
      </c>
      <c r="AG134" s="20" t="str">
        <f t="shared" si="30"/>
        <v>Fill reimbursement % for this LE (see column C)</v>
      </c>
      <c r="AH134" s="20" t="str">
        <f t="shared" si="31"/>
        <v>This route has no eligible riders (see columns L:O)</v>
      </c>
      <c r="AI134" s="20" t="str">
        <f t="shared" si="32"/>
        <v>Fill miles per day (see column D)</v>
      </c>
      <c r="AJ134" s="20" t="str">
        <f t="shared" si="37"/>
        <v>Fill number of operating days (see column F)</v>
      </c>
      <c r="AK134" s="20" t="str">
        <f t="shared" si="38"/>
        <v>Fill Non-Bus Miles with Y or N (See column E)</v>
      </c>
      <c r="AL134" s="98" t="s">
        <v>422</v>
      </c>
      <c r="AM134" s="20" t="str">
        <f t="shared" si="39"/>
        <v/>
      </c>
    </row>
    <row r="135" spans="1:39" x14ac:dyDescent="0.75">
      <c r="A135" s="1" t="s">
        <v>220</v>
      </c>
      <c r="B135" s="130"/>
      <c r="C135" s="36"/>
      <c r="D135" s="42"/>
      <c r="E135" s="47"/>
      <c r="F135" s="44"/>
      <c r="G135" s="35"/>
      <c r="H135" s="18" t="s">
        <v>50</v>
      </c>
      <c r="I135" s="125"/>
      <c r="J135" s="35"/>
      <c r="K135" s="18" t="str">
        <f t="shared" si="23"/>
        <v/>
      </c>
      <c r="L135" s="38"/>
      <c r="M135" s="38"/>
      <c r="N135" s="38"/>
      <c r="O135" s="38"/>
      <c r="P135" s="18" t="str">
        <f t="shared" si="33"/>
        <v/>
      </c>
      <c r="Q135" s="38"/>
      <c r="R135" s="38"/>
      <c r="S135" s="38"/>
      <c r="T135" s="38"/>
      <c r="U135" s="18">
        <f t="shared" si="24"/>
        <v>0</v>
      </c>
      <c r="V135" s="18" t="str">
        <f t="shared" si="25"/>
        <v/>
      </c>
      <c r="W135" s="18" t="str">
        <f>IF(E135="Y",PAR!$C$12,IF(J135="","",IF(J135&lt;11,PAR!$C$6,IF(J135&lt;50,PAR!$C$7,IF(J135&lt;60,PAR!$C$8,IF(J135&lt;70,PAR!$C$9,IF(J135&lt;80,PAR!$C$10,IF(J135&gt;79,PAR!$C$11,0))))))))</f>
        <v/>
      </c>
      <c r="X135" s="18" t="str">
        <f t="shared" si="26"/>
        <v/>
      </c>
      <c r="Y135" s="21" t="str">
        <f t="shared" si="27"/>
        <v/>
      </c>
      <c r="Z135" s="100" t="str">
        <f>IF(IFERROR(IF(E135="Y",(W135*(X135-PAR!$C$15)*Y135)*C135,IF(AA135&lt;&gt;"","See Comment",IFERROR(W135*X135*Y135*C135,"Fill all blue cells"))),"Fill all blue cells")&lt;0,0,(IFERROR(IF(E135="Y",(W135*(X135-PAR!$C$15)*Y135)*C135,IF(AA135&lt;&gt;"","See Comment",IFERROR(W135*X135*Y135*C135,"Fill all blue cells"))),"Fill all blue cells")))</f>
        <v>See Comment</v>
      </c>
      <c r="AA13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5" s="116" t="str">
        <f t="shared" si="35"/>
        <v/>
      </c>
      <c r="AC135" s="20" t="str">
        <f>IF(AND(E135="Y",D135&lt;PAR!C136),"Non bus miles are less than the minumum of 10 (see column D)",IF(AND(E135="Y",F135&lt;&gt;""),"Non Bus Miles",""))</f>
        <v/>
      </c>
      <c r="AD135" s="20" t="str">
        <f t="shared" si="36"/>
        <v/>
      </c>
      <c r="AE135" s="20" t="str">
        <f t="shared" si="28"/>
        <v>Fill Rated Capacity (see column J),</v>
      </c>
      <c r="AF135" s="20" t="str">
        <f t="shared" si="29"/>
        <v/>
      </c>
      <c r="AG135" s="20" t="str">
        <f t="shared" si="30"/>
        <v>Fill reimbursement % for this LE (see column C)</v>
      </c>
      <c r="AH135" s="20" t="str">
        <f t="shared" si="31"/>
        <v>This route has no eligible riders (see columns L:O)</v>
      </c>
      <c r="AI135" s="20" t="str">
        <f t="shared" si="32"/>
        <v>Fill miles per day (see column D)</v>
      </c>
      <c r="AJ135" s="20" t="str">
        <f t="shared" si="37"/>
        <v>Fill number of operating days (see column F)</v>
      </c>
      <c r="AK135" s="20" t="str">
        <f t="shared" si="38"/>
        <v>Fill Non-Bus Miles with Y or N (See column E)</v>
      </c>
      <c r="AL135" s="98" t="s">
        <v>422</v>
      </c>
      <c r="AM135" s="20" t="str">
        <f t="shared" si="39"/>
        <v/>
      </c>
    </row>
    <row r="136" spans="1:39" x14ac:dyDescent="0.75">
      <c r="A136" s="1" t="s">
        <v>221</v>
      </c>
      <c r="B136" s="130"/>
      <c r="C136" s="33"/>
      <c r="D136" s="41"/>
      <c r="E136" s="48"/>
      <c r="F136" s="45"/>
      <c r="G136" s="32"/>
      <c r="H136" s="16" t="s">
        <v>50</v>
      </c>
      <c r="I136" s="126"/>
      <c r="J136" s="32"/>
      <c r="K136" s="16" t="str">
        <f t="shared" si="23"/>
        <v/>
      </c>
      <c r="L136" s="37"/>
      <c r="M136" s="37"/>
      <c r="N136" s="37"/>
      <c r="O136" s="37"/>
      <c r="P136" s="16" t="str">
        <f t="shared" si="33"/>
        <v/>
      </c>
      <c r="Q136" s="37"/>
      <c r="R136" s="37"/>
      <c r="S136" s="37"/>
      <c r="T136" s="37"/>
      <c r="U136" s="16">
        <f t="shared" si="24"/>
        <v>0</v>
      </c>
      <c r="V136" s="16" t="str">
        <f t="shared" si="25"/>
        <v/>
      </c>
      <c r="W136" s="16" t="str">
        <f>IF(E136="Y",PAR!$C$12,IF(J136="","",IF(J136&lt;11,PAR!$C$6,IF(J136&lt;50,PAR!$C$7,IF(J136&lt;60,PAR!$C$8,IF(J136&lt;70,PAR!$C$9,IF(J136&lt;80,PAR!$C$10,IF(J136&gt;79,PAR!$C$11,0))))))))</f>
        <v/>
      </c>
      <c r="X136" s="16" t="str">
        <f t="shared" si="26"/>
        <v/>
      </c>
      <c r="Y136" s="22" t="str">
        <f t="shared" si="27"/>
        <v/>
      </c>
      <c r="Z136" s="100" t="str">
        <f>IF(IFERROR(IF(E136="Y",(W136*(X136-PAR!$C$15)*Y136)*C136,IF(AA136&lt;&gt;"","See Comment",IFERROR(W136*X136*Y136*C136,"Fill all blue cells"))),"Fill all blue cells")&lt;0,0,(IFERROR(IF(E136="Y",(W136*(X136-PAR!$C$15)*Y136)*C136,IF(AA136&lt;&gt;"","See Comment",IFERROR(W136*X136*Y136*C136,"Fill all blue cells"))),"Fill all blue cells")))</f>
        <v>See Comment</v>
      </c>
      <c r="AA13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6" s="116" t="str">
        <f t="shared" si="35"/>
        <v/>
      </c>
      <c r="AC136" s="20" t="str">
        <f>IF(AND(E136="Y",D136&lt;PAR!C137),"Non bus miles are less than the minumum of 10 (see column D)",IF(AND(E136="Y",F136&lt;&gt;""),"Non Bus Miles",""))</f>
        <v/>
      </c>
      <c r="AD136" s="20" t="str">
        <f t="shared" si="36"/>
        <v/>
      </c>
      <c r="AE136" s="20" t="str">
        <f t="shared" si="28"/>
        <v>Fill Rated Capacity (see column J),</v>
      </c>
      <c r="AF136" s="20" t="str">
        <f t="shared" si="29"/>
        <v/>
      </c>
      <c r="AG136" s="20" t="str">
        <f t="shared" si="30"/>
        <v>Fill reimbursement % for this LE (see column C)</v>
      </c>
      <c r="AH136" s="20" t="str">
        <f t="shared" si="31"/>
        <v>This route has no eligible riders (see columns L:O)</v>
      </c>
      <c r="AI136" s="20" t="str">
        <f t="shared" si="32"/>
        <v>Fill miles per day (see column D)</v>
      </c>
      <c r="AJ136" s="20" t="str">
        <f t="shared" si="37"/>
        <v>Fill number of operating days (see column F)</v>
      </c>
      <c r="AK136" s="20" t="str">
        <f t="shared" si="38"/>
        <v>Fill Non-Bus Miles with Y or N (See column E)</v>
      </c>
      <c r="AL136" s="98" t="s">
        <v>422</v>
      </c>
      <c r="AM136" s="20" t="str">
        <f t="shared" si="39"/>
        <v/>
      </c>
    </row>
    <row r="137" spans="1:39" x14ac:dyDescent="0.75">
      <c r="A137" s="1" t="s">
        <v>222</v>
      </c>
      <c r="B137" s="130"/>
      <c r="C137" s="36"/>
      <c r="D137" s="42"/>
      <c r="E137" s="47"/>
      <c r="F137" s="44"/>
      <c r="G137" s="35"/>
      <c r="H137" s="18" t="s">
        <v>50</v>
      </c>
      <c r="I137" s="125"/>
      <c r="J137" s="35"/>
      <c r="K137" s="18" t="str">
        <f t="shared" si="23"/>
        <v/>
      </c>
      <c r="L137" s="38"/>
      <c r="M137" s="38"/>
      <c r="N137" s="38"/>
      <c r="O137" s="38"/>
      <c r="P137" s="18" t="str">
        <f t="shared" si="33"/>
        <v/>
      </c>
      <c r="Q137" s="38"/>
      <c r="R137" s="38"/>
      <c r="S137" s="38"/>
      <c r="T137" s="38"/>
      <c r="U137" s="18">
        <f t="shared" si="24"/>
        <v>0</v>
      </c>
      <c r="V137" s="18" t="str">
        <f t="shared" si="25"/>
        <v/>
      </c>
      <c r="W137" s="18" t="str">
        <f>IF(E137="Y",PAR!$C$12,IF(J137="","",IF(J137&lt;11,PAR!$C$6,IF(J137&lt;50,PAR!$C$7,IF(J137&lt;60,PAR!$C$8,IF(J137&lt;70,PAR!$C$9,IF(J137&lt;80,PAR!$C$10,IF(J137&gt;79,PAR!$C$11,0))))))))</f>
        <v/>
      </c>
      <c r="X137" s="18" t="str">
        <f t="shared" si="26"/>
        <v/>
      </c>
      <c r="Y137" s="21" t="str">
        <f t="shared" si="27"/>
        <v/>
      </c>
      <c r="Z137" s="100" t="str">
        <f>IF(IFERROR(IF(E137="Y",(W137*(X137-PAR!$C$15)*Y137)*C137,IF(AA137&lt;&gt;"","See Comment",IFERROR(W137*X137*Y137*C137,"Fill all blue cells"))),"Fill all blue cells")&lt;0,0,(IFERROR(IF(E137="Y",(W137*(X137-PAR!$C$15)*Y137)*C137,IF(AA137&lt;&gt;"","See Comment",IFERROR(W137*X137*Y137*C137,"Fill all blue cells"))),"Fill all blue cells")))</f>
        <v>See Comment</v>
      </c>
      <c r="AA13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7" s="116" t="str">
        <f t="shared" si="35"/>
        <v/>
      </c>
      <c r="AC137" s="20" t="str">
        <f>IF(AND(E137="Y",D137&lt;PAR!C138),"Non bus miles are less than the minumum of 10 (see column D)",IF(AND(E137="Y",F137&lt;&gt;""),"Non Bus Miles",""))</f>
        <v/>
      </c>
      <c r="AD137" s="20" t="str">
        <f t="shared" si="36"/>
        <v/>
      </c>
      <c r="AE137" s="20" t="str">
        <f t="shared" si="28"/>
        <v>Fill Rated Capacity (see column J),</v>
      </c>
      <c r="AF137" s="20" t="str">
        <f t="shared" si="29"/>
        <v/>
      </c>
      <c r="AG137" s="20" t="str">
        <f t="shared" si="30"/>
        <v>Fill reimbursement % for this LE (see column C)</v>
      </c>
      <c r="AH137" s="20" t="str">
        <f t="shared" si="31"/>
        <v>This route has no eligible riders (see columns L:O)</v>
      </c>
      <c r="AI137" s="20" t="str">
        <f t="shared" si="32"/>
        <v>Fill miles per day (see column D)</v>
      </c>
      <c r="AJ137" s="20" t="str">
        <f t="shared" si="37"/>
        <v>Fill number of operating days (see column F)</v>
      </c>
      <c r="AK137" s="20" t="str">
        <f t="shared" si="38"/>
        <v>Fill Non-Bus Miles with Y or N (See column E)</v>
      </c>
      <c r="AL137" s="98" t="s">
        <v>422</v>
      </c>
      <c r="AM137" s="20" t="str">
        <f t="shared" si="39"/>
        <v/>
      </c>
    </row>
    <row r="138" spans="1:39" x14ac:dyDescent="0.75">
      <c r="A138" s="1" t="s">
        <v>223</v>
      </c>
      <c r="B138" s="130"/>
      <c r="C138" s="33"/>
      <c r="D138" s="41"/>
      <c r="E138" s="48"/>
      <c r="F138" s="45"/>
      <c r="G138" s="32"/>
      <c r="H138" s="16" t="s">
        <v>50</v>
      </c>
      <c r="I138" s="126"/>
      <c r="J138" s="32"/>
      <c r="K138" s="16" t="str">
        <f t="shared" si="23"/>
        <v/>
      </c>
      <c r="L138" s="37"/>
      <c r="M138" s="37"/>
      <c r="N138" s="37"/>
      <c r="O138" s="37"/>
      <c r="P138" s="16" t="str">
        <f t="shared" si="33"/>
        <v/>
      </c>
      <c r="Q138" s="37"/>
      <c r="R138" s="37"/>
      <c r="S138" s="37"/>
      <c r="T138" s="37"/>
      <c r="U138" s="16">
        <f t="shared" si="24"/>
        <v>0</v>
      </c>
      <c r="V138" s="16" t="str">
        <f t="shared" si="25"/>
        <v/>
      </c>
      <c r="W138" s="16" t="str">
        <f>IF(E138="Y",PAR!$C$12,IF(J138="","",IF(J138&lt;11,PAR!$C$6,IF(J138&lt;50,PAR!$C$7,IF(J138&lt;60,PAR!$C$8,IF(J138&lt;70,PAR!$C$9,IF(J138&lt;80,PAR!$C$10,IF(J138&gt;79,PAR!$C$11,0))))))))</f>
        <v/>
      </c>
      <c r="X138" s="16" t="str">
        <f t="shared" si="26"/>
        <v/>
      </c>
      <c r="Y138" s="22" t="str">
        <f t="shared" si="27"/>
        <v/>
      </c>
      <c r="Z138" s="100" t="str">
        <f>IF(IFERROR(IF(E138="Y",(W138*(X138-PAR!$C$15)*Y138)*C138,IF(AA138&lt;&gt;"","See Comment",IFERROR(W138*X138*Y138*C138,"Fill all blue cells"))),"Fill all blue cells")&lt;0,0,(IFERROR(IF(E138="Y",(W138*(X138-PAR!$C$15)*Y138)*C138,IF(AA138&lt;&gt;"","See Comment",IFERROR(W138*X138*Y138*C138,"Fill all blue cells"))),"Fill all blue cells")))</f>
        <v>See Comment</v>
      </c>
      <c r="AA13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8" s="116" t="str">
        <f t="shared" si="35"/>
        <v/>
      </c>
      <c r="AC138" s="20" t="str">
        <f>IF(AND(E138="Y",D138&lt;PAR!C139),"Non bus miles are less than the minumum of 10 (see column D)",IF(AND(E138="Y",F138&lt;&gt;""),"Non Bus Miles",""))</f>
        <v/>
      </c>
      <c r="AD138" s="20" t="str">
        <f t="shared" si="36"/>
        <v/>
      </c>
      <c r="AE138" s="20" t="str">
        <f t="shared" si="28"/>
        <v>Fill Rated Capacity (see column J),</v>
      </c>
      <c r="AF138" s="20" t="str">
        <f t="shared" si="29"/>
        <v/>
      </c>
      <c r="AG138" s="20" t="str">
        <f t="shared" si="30"/>
        <v>Fill reimbursement % for this LE (see column C)</v>
      </c>
      <c r="AH138" s="20" t="str">
        <f t="shared" si="31"/>
        <v>This route has no eligible riders (see columns L:O)</v>
      </c>
      <c r="AI138" s="20" t="str">
        <f t="shared" si="32"/>
        <v>Fill miles per day (see column D)</v>
      </c>
      <c r="AJ138" s="20" t="str">
        <f t="shared" si="37"/>
        <v>Fill number of operating days (see column F)</v>
      </c>
      <c r="AK138" s="20" t="str">
        <f t="shared" si="38"/>
        <v>Fill Non-Bus Miles with Y or N (See column E)</v>
      </c>
      <c r="AL138" s="98" t="s">
        <v>422</v>
      </c>
      <c r="AM138" s="20" t="str">
        <f t="shared" si="39"/>
        <v/>
      </c>
    </row>
    <row r="139" spans="1:39" x14ac:dyDescent="0.75">
      <c r="A139" s="1" t="s">
        <v>224</v>
      </c>
      <c r="B139" s="130"/>
      <c r="C139" s="36"/>
      <c r="D139" s="42"/>
      <c r="E139" s="47"/>
      <c r="F139" s="44"/>
      <c r="G139" s="35"/>
      <c r="H139" s="18" t="s">
        <v>50</v>
      </c>
      <c r="I139" s="125"/>
      <c r="J139" s="35"/>
      <c r="K139" s="18" t="str">
        <f t="shared" si="23"/>
        <v/>
      </c>
      <c r="L139" s="38"/>
      <c r="M139" s="38"/>
      <c r="N139" s="38"/>
      <c r="O139" s="38"/>
      <c r="P139" s="18" t="str">
        <f t="shared" si="33"/>
        <v/>
      </c>
      <c r="Q139" s="38"/>
      <c r="R139" s="38"/>
      <c r="S139" s="38"/>
      <c r="T139" s="38"/>
      <c r="U139" s="18">
        <f t="shared" si="24"/>
        <v>0</v>
      </c>
      <c r="V139" s="18" t="str">
        <f t="shared" si="25"/>
        <v/>
      </c>
      <c r="W139" s="18" t="str">
        <f>IF(E139="Y",PAR!$C$12,IF(J139="","",IF(J139&lt;11,PAR!$C$6,IF(J139&lt;50,PAR!$C$7,IF(J139&lt;60,PAR!$C$8,IF(J139&lt;70,PAR!$C$9,IF(J139&lt;80,PAR!$C$10,IF(J139&gt;79,PAR!$C$11,0))))))))</f>
        <v/>
      </c>
      <c r="X139" s="18" t="str">
        <f t="shared" si="26"/>
        <v/>
      </c>
      <c r="Y139" s="21" t="str">
        <f t="shared" si="27"/>
        <v/>
      </c>
      <c r="Z139" s="100" t="str">
        <f>IF(IFERROR(IF(E139="Y",(W139*(X139-PAR!$C$15)*Y139)*C139,IF(AA139&lt;&gt;"","See Comment",IFERROR(W139*X139*Y139*C139,"Fill all blue cells"))),"Fill all blue cells")&lt;0,0,(IFERROR(IF(E139="Y",(W139*(X139-PAR!$C$15)*Y139)*C139,IF(AA139&lt;&gt;"","See Comment",IFERROR(W139*X139*Y139*C139,"Fill all blue cells"))),"Fill all blue cells")))</f>
        <v>See Comment</v>
      </c>
      <c r="AA13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9" s="116" t="str">
        <f t="shared" si="35"/>
        <v/>
      </c>
      <c r="AC139" s="20" t="str">
        <f>IF(AND(E139="Y",D139&lt;PAR!C140),"Non bus miles are less than the minumum of 10 (see column D)",IF(AND(E139="Y",F139&lt;&gt;""),"Non Bus Miles",""))</f>
        <v/>
      </c>
      <c r="AD139" s="20" t="str">
        <f t="shared" si="36"/>
        <v/>
      </c>
      <c r="AE139" s="20" t="str">
        <f t="shared" si="28"/>
        <v>Fill Rated Capacity (see column J),</v>
      </c>
      <c r="AF139" s="20" t="str">
        <f t="shared" si="29"/>
        <v/>
      </c>
      <c r="AG139" s="20" t="str">
        <f t="shared" si="30"/>
        <v>Fill reimbursement % for this LE (see column C)</v>
      </c>
      <c r="AH139" s="20" t="str">
        <f t="shared" si="31"/>
        <v>This route has no eligible riders (see columns L:O)</v>
      </c>
      <c r="AI139" s="20" t="str">
        <f t="shared" si="32"/>
        <v>Fill miles per day (see column D)</v>
      </c>
      <c r="AJ139" s="20" t="str">
        <f t="shared" si="37"/>
        <v>Fill number of operating days (see column F)</v>
      </c>
      <c r="AK139" s="20" t="str">
        <f t="shared" si="38"/>
        <v>Fill Non-Bus Miles with Y or N (See column E)</v>
      </c>
      <c r="AL139" s="98" t="s">
        <v>422</v>
      </c>
      <c r="AM139" s="20" t="str">
        <f t="shared" si="39"/>
        <v/>
      </c>
    </row>
    <row r="140" spans="1:39" x14ac:dyDescent="0.75">
      <c r="A140" s="1" t="s">
        <v>225</v>
      </c>
      <c r="B140" s="130"/>
      <c r="C140" s="33"/>
      <c r="D140" s="41"/>
      <c r="E140" s="48"/>
      <c r="F140" s="45"/>
      <c r="G140" s="32"/>
      <c r="H140" s="16" t="s">
        <v>50</v>
      </c>
      <c r="I140" s="126"/>
      <c r="J140" s="32"/>
      <c r="K140" s="16" t="str">
        <f t="shared" si="23"/>
        <v/>
      </c>
      <c r="L140" s="37"/>
      <c r="M140" s="37"/>
      <c r="N140" s="37"/>
      <c r="O140" s="37"/>
      <c r="P140" s="16" t="str">
        <f t="shared" si="33"/>
        <v/>
      </c>
      <c r="Q140" s="37"/>
      <c r="R140" s="37"/>
      <c r="S140" s="37"/>
      <c r="T140" s="37"/>
      <c r="U140" s="16">
        <f t="shared" si="24"/>
        <v>0</v>
      </c>
      <c r="V140" s="16" t="str">
        <f t="shared" si="25"/>
        <v/>
      </c>
      <c r="W140" s="16" t="str">
        <f>IF(E140="Y",PAR!$C$12,IF(J140="","",IF(J140&lt;11,PAR!$C$6,IF(J140&lt;50,PAR!$C$7,IF(J140&lt;60,PAR!$C$8,IF(J140&lt;70,PAR!$C$9,IF(J140&lt;80,PAR!$C$10,IF(J140&gt;79,PAR!$C$11,0))))))))</f>
        <v/>
      </c>
      <c r="X140" s="16" t="str">
        <f t="shared" si="26"/>
        <v/>
      </c>
      <c r="Y140" s="22" t="str">
        <f t="shared" si="27"/>
        <v/>
      </c>
      <c r="Z140" s="100" t="str">
        <f>IF(IFERROR(IF(E140="Y",(W140*(X140-PAR!$C$15)*Y140)*C140,IF(AA140&lt;&gt;"","See Comment",IFERROR(W140*X140*Y140*C140,"Fill all blue cells"))),"Fill all blue cells")&lt;0,0,(IFERROR(IF(E140="Y",(W140*(X140-PAR!$C$15)*Y140)*C140,IF(AA140&lt;&gt;"","See Comment",IFERROR(W140*X140*Y140*C140,"Fill all blue cells"))),"Fill all blue cells")))</f>
        <v>See Comment</v>
      </c>
      <c r="AA14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40" s="116" t="str">
        <f t="shared" si="35"/>
        <v/>
      </c>
      <c r="AC140" s="20" t="str">
        <f>IF(AND(E140="Y",D140&lt;PAR!C141),"Non bus miles are less than the minumum of 10 (see column D)",IF(AND(E140="Y",F140&lt;&gt;""),"Non Bus Miles",""))</f>
        <v/>
      </c>
      <c r="AD140" s="20" t="str">
        <f t="shared" si="36"/>
        <v/>
      </c>
      <c r="AE140" s="20" t="str">
        <f t="shared" si="28"/>
        <v>Fill Rated Capacity (see column J),</v>
      </c>
      <c r="AF140" s="20" t="str">
        <f t="shared" si="29"/>
        <v/>
      </c>
      <c r="AG140" s="20" t="str">
        <f t="shared" si="30"/>
        <v>Fill reimbursement % for this LE (see column C)</v>
      </c>
      <c r="AH140" s="20" t="str">
        <f t="shared" si="31"/>
        <v>This route has no eligible riders (see columns L:O)</v>
      </c>
      <c r="AI140" s="20" t="str">
        <f t="shared" si="32"/>
        <v>Fill miles per day (see column D)</v>
      </c>
      <c r="AJ140" s="20" t="str">
        <f t="shared" si="37"/>
        <v>Fill number of operating days (see column F)</v>
      </c>
      <c r="AK140" s="20" t="str">
        <f t="shared" si="38"/>
        <v>Fill Non-Bus Miles with Y or N (See column E)</v>
      </c>
      <c r="AL140" s="98" t="s">
        <v>422</v>
      </c>
      <c r="AM140" s="20" t="str">
        <f t="shared" si="39"/>
        <v/>
      </c>
    </row>
    <row r="141" spans="1:39" x14ac:dyDescent="0.75">
      <c r="A141" s="1" t="s">
        <v>226</v>
      </c>
      <c r="B141" s="130"/>
      <c r="C141" s="36"/>
      <c r="D141" s="42"/>
      <c r="E141" s="47"/>
      <c r="F141" s="44"/>
      <c r="G141" s="35"/>
      <c r="H141" s="18" t="s">
        <v>50</v>
      </c>
      <c r="I141" s="125"/>
      <c r="J141" s="35"/>
      <c r="K141" s="18" t="str">
        <f t="shared" si="23"/>
        <v/>
      </c>
      <c r="L141" s="38"/>
      <c r="M141" s="38"/>
      <c r="N141" s="38"/>
      <c r="O141" s="38"/>
      <c r="P141" s="18" t="str">
        <f t="shared" si="33"/>
        <v/>
      </c>
      <c r="Q141" s="38"/>
      <c r="R141" s="38"/>
      <c r="S141" s="38"/>
      <c r="T141" s="38"/>
      <c r="U141" s="18">
        <f t="shared" si="24"/>
        <v>0</v>
      </c>
      <c r="V141" s="18" t="str">
        <f t="shared" si="25"/>
        <v/>
      </c>
      <c r="W141" s="18" t="str">
        <f>IF(E141="Y",PAR!$C$12,IF(J141="","",IF(J141&lt;11,PAR!$C$6,IF(J141&lt;50,PAR!$C$7,IF(J141&lt;60,PAR!$C$8,IF(J141&lt;70,PAR!$C$9,IF(J141&lt;80,PAR!$C$10,IF(J141&gt;79,PAR!$C$11,0))))))))</f>
        <v/>
      </c>
      <c r="X141" s="18" t="str">
        <f t="shared" si="26"/>
        <v/>
      </c>
      <c r="Y141" s="21" t="str">
        <f t="shared" si="27"/>
        <v/>
      </c>
      <c r="Z141" s="100" t="str">
        <f>IF(IFERROR(IF(E141="Y",(W141*(X141-PAR!$C$15)*Y141)*C141,IF(AA141&lt;&gt;"","See Comment",IFERROR(W141*X141*Y141*C141,"Fill all blue cells"))),"Fill all blue cells")&lt;0,0,(IFERROR(IF(E141="Y",(W141*(X141-PAR!$C$15)*Y141)*C141,IF(AA141&lt;&gt;"","See Comment",IFERROR(W141*X141*Y141*C141,"Fill all blue cells"))),"Fill all blue cells")))</f>
        <v>See Comment</v>
      </c>
      <c r="AA14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41" s="116" t="str">
        <f t="shared" si="35"/>
        <v/>
      </c>
      <c r="AC141" s="20" t="str">
        <f>IF(AND(E141="Y",D141&lt;PAR!C142),"Non bus miles are less than the minumum of 10 (see column D)",IF(AND(E141="Y",F141&lt;&gt;""),"Non Bus Miles",""))</f>
        <v/>
      </c>
      <c r="AD141" s="20" t="str">
        <f t="shared" si="36"/>
        <v/>
      </c>
      <c r="AE141" s="20" t="str">
        <f t="shared" si="28"/>
        <v>Fill Rated Capacity (see column J),</v>
      </c>
      <c r="AF141" s="20" t="str">
        <f t="shared" si="29"/>
        <v/>
      </c>
      <c r="AG141" s="20" t="str">
        <f t="shared" si="30"/>
        <v>Fill reimbursement % for this LE (see column C)</v>
      </c>
      <c r="AH141" s="20" t="str">
        <f t="shared" si="31"/>
        <v>This route has no eligible riders (see columns L:O)</v>
      </c>
      <c r="AI141" s="20" t="str">
        <f t="shared" si="32"/>
        <v>Fill miles per day (see column D)</v>
      </c>
      <c r="AJ141" s="20" t="str">
        <f t="shared" si="37"/>
        <v>Fill number of operating days (see column F)</v>
      </c>
      <c r="AK141" s="20" t="str">
        <f t="shared" si="38"/>
        <v>Fill Non-Bus Miles with Y or N (See column E)</v>
      </c>
      <c r="AL141" s="98" t="s">
        <v>422</v>
      </c>
      <c r="AM141" s="20" t="str">
        <f t="shared" si="39"/>
        <v/>
      </c>
    </row>
    <row r="142" spans="1:39" x14ac:dyDescent="0.75">
      <c r="A142" s="1" t="s">
        <v>227</v>
      </c>
      <c r="B142" s="130"/>
      <c r="C142" s="33"/>
      <c r="D142" s="41"/>
      <c r="E142" s="48"/>
      <c r="F142" s="45"/>
      <c r="G142" s="32"/>
      <c r="H142" s="16" t="s">
        <v>50</v>
      </c>
      <c r="I142" s="126"/>
      <c r="J142" s="32"/>
      <c r="K142" s="16" t="str">
        <f t="shared" ref="K142:K205" si="40">IF(B142&lt;&gt;"",B142,"")</f>
        <v/>
      </c>
      <c r="L142" s="37"/>
      <c r="M142" s="37"/>
      <c r="N142" s="37"/>
      <c r="O142" s="37"/>
      <c r="P142" s="16" t="str">
        <f t="shared" si="33"/>
        <v/>
      </c>
      <c r="Q142" s="37"/>
      <c r="R142" s="37"/>
      <c r="S142" s="37"/>
      <c r="T142" s="37"/>
      <c r="U142" s="16">
        <f t="shared" ref="U142:U205" si="41">IFERROR(SUM(Q142:T142)+P142,0)</f>
        <v>0</v>
      </c>
      <c r="V142" s="16" t="str">
        <f t="shared" ref="V142:V205" si="42">IF(B142&lt;&gt;"",B142,"")</f>
        <v/>
      </c>
      <c r="W142" s="16" t="str">
        <f>IF(E142="Y",PAR!$C$12,IF(J142="","",IF(J142&lt;11,PAR!$C$6,IF(J142&lt;50,PAR!$C$7,IF(J142&lt;60,PAR!$C$8,IF(J142&lt;70,PAR!$C$9,IF(J142&lt;80,PAR!$C$10,IF(J142&gt;79,PAR!$C$11,0))))))))</f>
        <v/>
      </c>
      <c r="X142" s="16" t="str">
        <f t="shared" ref="X142:X205" si="43">IF(D142="","",D142)</f>
        <v/>
      </c>
      <c r="Y142" s="22" t="str">
        <f t="shared" ref="Y142:Y205" si="44">IF(F142="","",F142)</f>
        <v/>
      </c>
      <c r="Z142" s="100" t="str">
        <f>IF(IFERROR(IF(E142="Y",(W142*(X142-PAR!$C$15)*Y142)*C142,IF(AA142&lt;&gt;"","See Comment",IFERROR(W142*X142*Y142*C142,"Fill all blue cells"))),"Fill all blue cells")&lt;0,0,(IFERROR(IF(E142="Y",(W142*(X142-PAR!$C$15)*Y142)*C142,IF(AA142&lt;&gt;"","See Comment",IFERROR(W142*X142*Y142*C142,"Fill all blue cells"))),"Fill all blue cells")))</f>
        <v>See Comment</v>
      </c>
      <c r="AA14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42" s="116" t="str">
        <f t="shared" si="35"/>
        <v/>
      </c>
      <c r="AC142" s="20" t="str">
        <f>IF(AND(E142="Y",D142&lt;PAR!C143),"Non bus miles are less than the minumum of 10 (see column D)",IF(AND(E142="Y",F142&lt;&gt;""),"Non Bus Miles",""))</f>
        <v/>
      </c>
      <c r="AD142" s="20" t="str">
        <f t="shared" si="36"/>
        <v/>
      </c>
      <c r="AE142" s="20" t="str">
        <f t="shared" ref="AE142:AE205" si="45">IF(OR(J142="",J142=0),"Fill Rated Capacity (see column J),","")</f>
        <v>Fill Rated Capacity (see column J),</v>
      </c>
      <c r="AF142" s="20" t="str">
        <f t="shared" ref="AF142:AF205" si="46">IF(F142&gt;180,"Exceeds the 180 Day Operating Limit (See Column F),","")</f>
        <v/>
      </c>
      <c r="AG142" s="20" t="str">
        <f t="shared" ref="AG142:AG205" si="47">IF(C142="","Fill reimbursement % for this LE (see column C)","")</f>
        <v>Fill reimbursement % for this LE (see column C)</v>
      </c>
      <c r="AH142" s="20" t="str">
        <f t="shared" ref="AH142:AH205" si="48">IF(OR(P142="",P142=0),"This route has no eligible riders (see columns L:O)","")</f>
        <v>This route has no eligible riders (see columns L:O)</v>
      </c>
      <c r="AI142" s="20" t="str">
        <f t="shared" ref="AI142:AI205" si="49">IF(D142="","Fill miles per day (see column D)","")</f>
        <v>Fill miles per day (see column D)</v>
      </c>
      <c r="AJ142" s="20" t="str">
        <f t="shared" si="37"/>
        <v>Fill number of operating days (see column F)</v>
      </c>
      <c r="AK142" s="20" t="str">
        <f t="shared" si="38"/>
        <v>Fill Non-Bus Miles with Y or N (See column E)</v>
      </c>
      <c r="AL142" s="98" t="s">
        <v>422</v>
      </c>
      <c r="AM142" s="20" t="str">
        <f t="shared" si="39"/>
        <v/>
      </c>
    </row>
    <row r="143" spans="1:39" x14ac:dyDescent="0.75">
      <c r="A143" s="1" t="s">
        <v>228</v>
      </c>
      <c r="B143" s="130"/>
      <c r="C143" s="36"/>
      <c r="D143" s="42"/>
      <c r="E143" s="47"/>
      <c r="F143" s="44"/>
      <c r="G143" s="35"/>
      <c r="H143" s="18" t="s">
        <v>50</v>
      </c>
      <c r="I143" s="125"/>
      <c r="J143" s="35"/>
      <c r="K143" s="18" t="str">
        <f t="shared" si="40"/>
        <v/>
      </c>
      <c r="L143" s="38"/>
      <c r="M143" s="38"/>
      <c r="N143" s="38"/>
      <c r="O143" s="38"/>
      <c r="P143" s="18" t="str">
        <f t="shared" ref="P143:P206" si="50">IF(AND(L143="",M143="",N143="",O143=""),"",SUM(L143:O143))</f>
        <v/>
      </c>
      <c r="Q143" s="38"/>
      <c r="R143" s="38"/>
      <c r="S143" s="38"/>
      <c r="T143" s="38"/>
      <c r="U143" s="18">
        <f t="shared" si="41"/>
        <v>0</v>
      </c>
      <c r="V143" s="18" t="str">
        <f t="shared" si="42"/>
        <v/>
      </c>
      <c r="W143" s="18" t="str">
        <f>IF(E143="Y",PAR!$C$12,IF(J143="","",IF(J143&lt;11,PAR!$C$6,IF(J143&lt;50,PAR!$C$7,IF(J143&lt;60,PAR!$C$8,IF(J143&lt;70,PAR!$C$9,IF(J143&lt;80,PAR!$C$10,IF(J143&gt;79,PAR!$C$11,0))))))))</f>
        <v/>
      </c>
      <c r="X143" s="18" t="str">
        <f t="shared" si="43"/>
        <v/>
      </c>
      <c r="Y143" s="21" t="str">
        <f t="shared" si="44"/>
        <v/>
      </c>
      <c r="Z143" s="100" t="str">
        <f>IF(IFERROR(IF(E143="Y",(W143*(X143-PAR!$C$15)*Y143)*C143,IF(AA143&lt;&gt;"","See Comment",IFERROR(W143*X143*Y143*C143,"Fill all blue cells"))),"Fill all blue cells")&lt;0,0,(IFERROR(IF(E143="Y",(W143*(X143-PAR!$C$15)*Y143)*C143,IF(AA143&lt;&gt;"","See Comment",IFERROR(W143*X143*Y143*C143,"Fill all blue cells"))),"Fill all blue cells")))</f>
        <v>See Comment</v>
      </c>
      <c r="AA143" s="96" t="str">
        <f t="shared" ref="AA143:AA206" si="51">IF(AC143="Non Bus Miles","",IF(AND(AC143="",AD143="",AE143="",AF143="",AG143="",AH143="",AI143="",AJ143="",AK143=""),"",AC143&amp;" "&amp;AD143&amp;""&amp;AE143&amp;""&amp;AF143&amp;""&amp;""&amp;AG143&amp;""&amp;AH143&amp;""&amp;AI143&amp;""&amp;AJ143&amp;""&amp;AK143))</f>
        <v xml:space="preserve"> Fill Rated Capacity (see column J),Fill reimbursement % for this LE (see column C)This route has no eligible riders (see columns L:O)Fill miles per day (see column D)Fill number of operating days (see column F)Fill Non-Bus Miles with Y or N (See column E)</v>
      </c>
      <c r="AB143" s="116" t="str">
        <f t="shared" ref="AB143:AB206" si="52">AM143</f>
        <v/>
      </c>
      <c r="AC143" s="20" t="str">
        <f>IF(AND(E143="Y",D143&lt;PAR!C144),"Non bus miles are less than the minumum of 10 (see column D)",IF(AND(E143="Y",F143&lt;&gt;""),"Non Bus Miles",""))</f>
        <v/>
      </c>
      <c r="AD143" s="20" t="str">
        <f t="shared" ref="AD143:AD206" si="53">IF(AND(E143="N",U143&gt;J143),"Riders Exceed Capacity of Bus,","")</f>
        <v/>
      </c>
      <c r="AE143" s="20" t="str">
        <f t="shared" si="45"/>
        <v>Fill Rated Capacity (see column J),</v>
      </c>
      <c r="AF143" s="20" t="str">
        <f t="shared" si="46"/>
        <v/>
      </c>
      <c r="AG143" s="20" t="str">
        <f t="shared" si="47"/>
        <v>Fill reimbursement % for this LE (see column C)</v>
      </c>
      <c r="AH143" s="20" t="str">
        <f t="shared" si="48"/>
        <v>This route has no eligible riders (see columns L:O)</v>
      </c>
      <c r="AI143" s="20" t="str">
        <f t="shared" si="49"/>
        <v>Fill miles per day (see column D)</v>
      </c>
      <c r="AJ143" s="20" t="str">
        <f t="shared" ref="AJ143:AJ206" si="54">IF(F143="","Fill number of operating days (see column F)","")</f>
        <v>Fill number of operating days (see column F)</v>
      </c>
      <c r="AK143" s="20" t="str">
        <f t="shared" ref="AK143:AK206" si="55">IF(OR(E143="Y",E143="N"),"","Fill Non-Bus Miles with Y or N (See column E)")</f>
        <v>Fill Non-Bus Miles with Y or N (See column E)</v>
      </c>
      <c r="AL143" s="98" t="s">
        <v>422</v>
      </c>
      <c r="AM143" s="20" t="str">
        <f t="shared" ref="AM143:AM206" si="56">IF(AND(E143="N",J143&lt;11),"You have recorded this as a type E multipurpose vehicle","")</f>
        <v/>
      </c>
    </row>
    <row r="144" spans="1:39" x14ac:dyDescent="0.75">
      <c r="A144" s="1" t="s">
        <v>229</v>
      </c>
      <c r="B144" s="130"/>
      <c r="C144" s="33"/>
      <c r="D144" s="41"/>
      <c r="E144" s="48"/>
      <c r="F144" s="45"/>
      <c r="G144" s="32"/>
      <c r="H144" s="16" t="s">
        <v>50</v>
      </c>
      <c r="I144" s="126"/>
      <c r="J144" s="32"/>
      <c r="K144" s="16" t="str">
        <f t="shared" si="40"/>
        <v/>
      </c>
      <c r="L144" s="37"/>
      <c r="M144" s="37"/>
      <c r="N144" s="37"/>
      <c r="O144" s="37"/>
      <c r="P144" s="16" t="str">
        <f t="shared" si="50"/>
        <v/>
      </c>
      <c r="Q144" s="37"/>
      <c r="R144" s="37"/>
      <c r="S144" s="37"/>
      <c r="T144" s="37"/>
      <c r="U144" s="16">
        <f t="shared" si="41"/>
        <v>0</v>
      </c>
      <c r="V144" s="16" t="str">
        <f t="shared" si="42"/>
        <v/>
      </c>
      <c r="W144" s="16" t="str">
        <f>IF(E144="Y",PAR!$C$12,IF(J144="","",IF(J144&lt;11,PAR!$C$6,IF(J144&lt;50,PAR!$C$7,IF(J144&lt;60,PAR!$C$8,IF(J144&lt;70,PAR!$C$9,IF(J144&lt;80,PAR!$C$10,IF(J144&gt;79,PAR!$C$11,0))))))))</f>
        <v/>
      </c>
      <c r="X144" s="16" t="str">
        <f t="shared" si="43"/>
        <v/>
      </c>
      <c r="Y144" s="22" t="str">
        <f t="shared" si="44"/>
        <v/>
      </c>
      <c r="Z144" s="100" t="str">
        <f>IF(IFERROR(IF(E144="Y",(W144*(X144-PAR!$C$15)*Y144)*C144,IF(AA144&lt;&gt;"","See Comment",IFERROR(W144*X144*Y144*C144,"Fill all blue cells"))),"Fill all blue cells")&lt;0,0,(IFERROR(IF(E144="Y",(W144*(X144-PAR!$C$15)*Y144)*C144,IF(AA144&lt;&gt;"","See Comment",IFERROR(W144*X144*Y144*C144,"Fill all blue cells"))),"Fill all blue cells")))</f>
        <v>See Comment</v>
      </c>
      <c r="AA144"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4" s="116" t="str">
        <f t="shared" si="52"/>
        <v/>
      </c>
      <c r="AC144" s="20" t="str">
        <f>IF(AND(E144="Y",D144&lt;PAR!C145),"Non bus miles are less than the minumum of 10 (see column D)",IF(AND(E144="Y",F144&lt;&gt;""),"Non Bus Miles",""))</f>
        <v/>
      </c>
      <c r="AD144" s="20" t="str">
        <f t="shared" si="53"/>
        <v/>
      </c>
      <c r="AE144" s="20" t="str">
        <f t="shared" si="45"/>
        <v>Fill Rated Capacity (see column J),</v>
      </c>
      <c r="AF144" s="20" t="str">
        <f t="shared" si="46"/>
        <v/>
      </c>
      <c r="AG144" s="20" t="str">
        <f t="shared" si="47"/>
        <v>Fill reimbursement % for this LE (see column C)</v>
      </c>
      <c r="AH144" s="20" t="str">
        <f t="shared" si="48"/>
        <v>This route has no eligible riders (see columns L:O)</v>
      </c>
      <c r="AI144" s="20" t="str">
        <f t="shared" si="49"/>
        <v>Fill miles per day (see column D)</v>
      </c>
      <c r="AJ144" s="20" t="str">
        <f t="shared" si="54"/>
        <v>Fill number of operating days (see column F)</v>
      </c>
      <c r="AK144" s="20" t="str">
        <f t="shared" si="55"/>
        <v>Fill Non-Bus Miles with Y or N (See column E)</v>
      </c>
      <c r="AL144" s="98" t="s">
        <v>422</v>
      </c>
      <c r="AM144" s="20" t="str">
        <f t="shared" si="56"/>
        <v/>
      </c>
    </row>
    <row r="145" spans="1:39" x14ac:dyDescent="0.75">
      <c r="A145" s="1" t="s">
        <v>230</v>
      </c>
      <c r="B145" s="130"/>
      <c r="C145" s="36"/>
      <c r="D145" s="42"/>
      <c r="E145" s="47"/>
      <c r="F145" s="44"/>
      <c r="G145" s="35"/>
      <c r="H145" s="18" t="s">
        <v>50</v>
      </c>
      <c r="I145" s="125"/>
      <c r="J145" s="35"/>
      <c r="K145" s="18" t="str">
        <f t="shared" si="40"/>
        <v/>
      </c>
      <c r="L145" s="38"/>
      <c r="M145" s="38"/>
      <c r="N145" s="38"/>
      <c r="O145" s="38"/>
      <c r="P145" s="18" t="str">
        <f t="shared" si="50"/>
        <v/>
      </c>
      <c r="Q145" s="38"/>
      <c r="R145" s="38"/>
      <c r="S145" s="38"/>
      <c r="T145" s="38"/>
      <c r="U145" s="18">
        <f t="shared" si="41"/>
        <v>0</v>
      </c>
      <c r="V145" s="18" t="str">
        <f t="shared" si="42"/>
        <v/>
      </c>
      <c r="W145" s="18" t="str">
        <f>IF(E145="Y",PAR!$C$12,IF(J145="","",IF(J145&lt;11,PAR!$C$6,IF(J145&lt;50,PAR!$C$7,IF(J145&lt;60,PAR!$C$8,IF(J145&lt;70,PAR!$C$9,IF(J145&lt;80,PAR!$C$10,IF(J145&gt;79,PAR!$C$11,0))))))))</f>
        <v/>
      </c>
      <c r="X145" s="18" t="str">
        <f t="shared" si="43"/>
        <v/>
      </c>
      <c r="Y145" s="21" t="str">
        <f t="shared" si="44"/>
        <v/>
      </c>
      <c r="Z145" s="100" t="str">
        <f>IF(IFERROR(IF(E145="Y",(W145*(X145-PAR!$C$15)*Y145)*C145,IF(AA145&lt;&gt;"","See Comment",IFERROR(W145*X145*Y145*C145,"Fill all blue cells"))),"Fill all blue cells")&lt;0,0,(IFERROR(IF(E145="Y",(W145*(X145-PAR!$C$15)*Y145)*C145,IF(AA145&lt;&gt;"","See Comment",IFERROR(W145*X145*Y145*C145,"Fill all blue cells"))),"Fill all blue cells")))</f>
        <v>See Comment</v>
      </c>
      <c r="AA145"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5" s="116" t="str">
        <f t="shared" si="52"/>
        <v/>
      </c>
      <c r="AC145" s="20" t="str">
        <f>IF(AND(E145="Y",D145&lt;PAR!C146),"Non bus miles are less than the minumum of 10 (see column D)",IF(AND(E145="Y",F145&lt;&gt;""),"Non Bus Miles",""))</f>
        <v/>
      </c>
      <c r="AD145" s="20" t="str">
        <f t="shared" si="53"/>
        <v/>
      </c>
      <c r="AE145" s="20" t="str">
        <f t="shared" si="45"/>
        <v>Fill Rated Capacity (see column J),</v>
      </c>
      <c r="AF145" s="20" t="str">
        <f t="shared" si="46"/>
        <v/>
      </c>
      <c r="AG145" s="20" t="str">
        <f t="shared" si="47"/>
        <v>Fill reimbursement % for this LE (see column C)</v>
      </c>
      <c r="AH145" s="20" t="str">
        <f t="shared" si="48"/>
        <v>This route has no eligible riders (see columns L:O)</v>
      </c>
      <c r="AI145" s="20" t="str">
        <f t="shared" si="49"/>
        <v>Fill miles per day (see column D)</v>
      </c>
      <c r="AJ145" s="20" t="str">
        <f t="shared" si="54"/>
        <v>Fill number of operating days (see column F)</v>
      </c>
      <c r="AK145" s="20" t="str">
        <f t="shared" si="55"/>
        <v>Fill Non-Bus Miles with Y or N (See column E)</v>
      </c>
      <c r="AL145" s="98" t="s">
        <v>422</v>
      </c>
      <c r="AM145" s="20" t="str">
        <f t="shared" si="56"/>
        <v/>
      </c>
    </row>
    <row r="146" spans="1:39" x14ac:dyDescent="0.75">
      <c r="A146" s="1" t="s">
        <v>231</v>
      </c>
      <c r="B146" s="130"/>
      <c r="C146" s="33"/>
      <c r="D146" s="41"/>
      <c r="E146" s="48"/>
      <c r="F146" s="45"/>
      <c r="G146" s="32"/>
      <c r="H146" s="16" t="s">
        <v>50</v>
      </c>
      <c r="I146" s="126"/>
      <c r="J146" s="32"/>
      <c r="K146" s="16" t="str">
        <f t="shared" si="40"/>
        <v/>
      </c>
      <c r="L146" s="37"/>
      <c r="M146" s="37"/>
      <c r="N146" s="37"/>
      <c r="O146" s="37"/>
      <c r="P146" s="16" t="str">
        <f t="shared" si="50"/>
        <v/>
      </c>
      <c r="Q146" s="37"/>
      <c r="R146" s="37"/>
      <c r="S146" s="37"/>
      <c r="T146" s="37"/>
      <c r="U146" s="16">
        <f t="shared" si="41"/>
        <v>0</v>
      </c>
      <c r="V146" s="16" t="str">
        <f t="shared" si="42"/>
        <v/>
      </c>
      <c r="W146" s="16" t="str">
        <f>IF(E146="Y",PAR!$C$12,IF(J146="","",IF(J146&lt;11,PAR!$C$6,IF(J146&lt;50,PAR!$C$7,IF(J146&lt;60,PAR!$C$8,IF(J146&lt;70,PAR!$C$9,IF(J146&lt;80,PAR!$C$10,IF(J146&gt;79,PAR!$C$11,0))))))))</f>
        <v/>
      </c>
      <c r="X146" s="16" t="str">
        <f t="shared" si="43"/>
        <v/>
      </c>
      <c r="Y146" s="22" t="str">
        <f t="shared" si="44"/>
        <v/>
      </c>
      <c r="Z146" s="100" t="str">
        <f>IF(IFERROR(IF(E146="Y",(W146*(X146-PAR!$C$15)*Y146)*C146,IF(AA146&lt;&gt;"","See Comment",IFERROR(W146*X146*Y146*C146,"Fill all blue cells"))),"Fill all blue cells")&lt;0,0,(IFERROR(IF(E146="Y",(W146*(X146-PAR!$C$15)*Y146)*C146,IF(AA146&lt;&gt;"","See Comment",IFERROR(W146*X146*Y146*C146,"Fill all blue cells"))),"Fill all blue cells")))</f>
        <v>See Comment</v>
      </c>
      <c r="AA146"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6" s="116" t="str">
        <f t="shared" si="52"/>
        <v/>
      </c>
      <c r="AC146" s="20" t="str">
        <f>IF(AND(E146="Y",D146&lt;PAR!C147),"Non bus miles are less than the minumum of 10 (see column D)",IF(AND(E146="Y",F146&lt;&gt;""),"Non Bus Miles",""))</f>
        <v/>
      </c>
      <c r="AD146" s="20" t="str">
        <f t="shared" si="53"/>
        <v/>
      </c>
      <c r="AE146" s="20" t="str">
        <f t="shared" si="45"/>
        <v>Fill Rated Capacity (see column J),</v>
      </c>
      <c r="AF146" s="20" t="str">
        <f t="shared" si="46"/>
        <v/>
      </c>
      <c r="AG146" s="20" t="str">
        <f t="shared" si="47"/>
        <v>Fill reimbursement % for this LE (see column C)</v>
      </c>
      <c r="AH146" s="20" t="str">
        <f t="shared" si="48"/>
        <v>This route has no eligible riders (see columns L:O)</v>
      </c>
      <c r="AI146" s="20" t="str">
        <f t="shared" si="49"/>
        <v>Fill miles per day (see column D)</v>
      </c>
      <c r="AJ146" s="20" t="str">
        <f t="shared" si="54"/>
        <v>Fill number of operating days (see column F)</v>
      </c>
      <c r="AK146" s="20" t="str">
        <f t="shared" si="55"/>
        <v>Fill Non-Bus Miles with Y or N (See column E)</v>
      </c>
      <c r="AL146" s="98" t="s">
        <v>422</v>
      </c>
      <c r="AM146" s="20" t="str">
        <f t="shared" si="56"/>
        <v/>
      </c>
    </row>
    <row r="147" spans="1:39" x14ac:dyDescent="0.75">
      <c r="A147" s="1" t="s">
        <v>232</v>
      </c>
      <c r="B147" s="130"/>
      <c r="C147" s="36"/>
      <c r="D147" s="42"/>
      <c r="E147" s="47"/>
      <c r="F147" s="44"/>
      <c r="G147" s="35"/>
      <c r="H147" s="18" t="s">
        <v>50</v>
      </c>
      <c r="I147" s="125"/>
      <c r="J147" s="35"/>
      <c r="K147" s="18" t="str">
        <f t="shared" si="40"/>
        <v/>
      </c>
      <c r="L147" s="38"/>
      <c r="M147" s="38"/>
      <c r="N147" s="38"/>
      <c r="O147" s="38"/>
      <c r="P147" s="18" t="str">
        <f t="shared" si="50"/>
        <v/>
      </c>
      <c r="Q147" s="38"/>
      <c r="R147" s="38"/>
      <c r="S147" s="38"/>
      <c r="T147" s="38"/>
      <c r="U147" s="18">
        <f t="shared" si="41"/>
        <v>0</v>
      </c>
      <c r="V147" s="18" t="str">
        <f t="shared" si="42"/>
        <v/>
      </c>
      <c r="W147" s="18" t="str">
        <f>IF(E147="Y",PAR!$C$12,IF(J147="","",IF(J147&lt;11,PAR!$C$6,IF(J147&lt;50,PAR!$C$7,IF(J147&lt;60,PAR!$C$8,IF(J147&lt;70,PAR!$C$9,IF(J147&lt;80,PAR!$C$10,IF(J147&gt;79,PAR!$C$11,0))))))))</f>
        <v/>
      </c>
      <c r="X147" s="18" t="str">
        <f t="shared" si="43"/>
        <v/>
      </c>
      <c r="Y147" s="21" t="str">
        <f t="shared" si="44"/>
        <v/>
      </c>
      <c r="Z147" s="100" t="str">
        <f>IF(IFERROR(IF(E147="Y",(W147*(X147-PAR!$C$15)*Y147)*C147,IF(AA147&lt;&gt;"","See Comment",IFERROR(W147*X147*Y147*C147,"Fill all blue cells"))),"Fill all blue cells")&lt;0,0,(IFERROR(IF(E147="Y",(W147*(X147-PAR!$C$15)*Y147)*C147,IF(AA147&lt;&gt;"","See Comment",IFERROR(W147*X147*Y147*C147,"Fill all blue cells"))),"Fill all blue cells")))</f>
        <v>See Comment</v>
      </c>
      <c r="AA147"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7" s="116" t="str">
        <f t="shared" si="52"/>
        <v/>
      </c>
      <c r="AC147" s="20" t="str">
        <f>IF(AND(E147="Y",D147&lt;PAR!C148),"Non bus miles are less than the minumum of 10 (see column D)",IF(AND(E147="Y",F147&lt;&gt;""),"Non Bus Miles",""))</f>
        <v/>
      </c>
      <c r="AD147" s="20" t="str">
        <f t="shared" si="53"/>
        <v/>
      </c>
      <c r="AE147" s="20" t="str">
        <f t="shared" si="45"/>
        <v>Fill Rated Capacity (see column J),</v>
      </c>
      <c r="AF147" s="20" t="str">
        <f t="shared" si="46"/>
        <v/>
      </c>
      <c r="AG147" s="20" t="str">
        <f t="shared" si="47"/>
        <v>Fill reimbursement % for this LE (see column C)</v>
      </c>
      <c r="AH147" s="20" t="str">
        <f t="shared" si="48"/>
        <v>This route has no eligible riders (see columns L:O)</v>
      </c>
      <c r="AI147" s="20" t="str">
        <f t="shared" si="49"/>
        <v>Fill miles per day (see column D)</v>
      </c>
      <c r="AJ147" s="20" t="str">
        <f t="shared" si="54"/>
        <v>Fill number of operating days (see column F)</v>
      </c>
      <c r="AK147" s="20" t="str">
        <f t="shared" si="55"/>
        <v>Fill Non-Bus Miles with Y or N (See column E)</v>
      </c>
      <c r="AL147" s="98" t="s">
        <v>422</v>
      </c>
      <c r="AM147" s="20" t="str">
        <f t="shared" si="56"/>
        <v/>
      </c>
    </row>
    <row r="148" spans="1:39" x14ac:dyDescent="0.75">
      <c r="A148" s="1" t="s">
        <v>233</v>
      </c>
      <c r="B148" s="130"/>
      <c r="C148" s="33"/>
      <c r="D148" s="41"/>
      <c r="E148" s="48"/>
      <c r="F148" s="45"/>
      <c r="G148" s="32"/>
      <c r="H148" s="16" t="s">
        <v>50</v>
      </c>
      <c r="I148" s="126"/>
      <c r="J148" s="32"/>
      <c r="K148" s="16" t="str">
        <f t="shared" si="40"/>
        <v/>
      </c>
      <c r="L148" s="37"/>
      <c r="M148" s="37"/>
      <c r="N148" s="37"/>
      <c r="O148" s="37"/>
      <c r="P148" s="16" t="str">
        <f t="shared" si="50"/>
        <v/>
      </c>
      <c r="Q148" s="37"/>
      <c r="R148" s="37"/>
      <c r="S148" s="37"/>
      <c r="T148" s="37"/>
      <c r="U148" s="16">
        <f t="shared" si="41"/>
        <v>0</v>
      </c>
      <c r="V148" s="16" t="str">
        <f t="shared" si="42"/>
        <v/>
      </c>
      <c r="W148" s="16" t="str">
        <f>IF(E148="Y",PAR!$C$12,IF(J148="","",IF(J148&lt;11,PAR!$C$6,IF(J148&lt;50,PAR!$C$7,IF(J148&lt;60,PAR!$C$8,IF(J148&lt;70,PAR!$C$9,IF(J148&lt;80,PAR!$C$10,IF(J148&gt;79,PAR!$C$11,0))))))))</f>
        <v/>
      </c>
      <c r="X148" s="16" t="str">
        <f t="shared" si="43"/>
        <v/>
      </c>
      <c r="Y148" s="22" t="str">
        <f t="shared" si="44"/>
        <v/>
      </c>
      <c r="Z148" s="100" t="str">
        <f>IF(IFERROR(IF(E148="Y",(W148*(X148-PAR!$C$15)*Y148)*C148,IF(AA148&lt;&gt;"","See Comment",IFERROR(W148*X148*Y148*C148,"Fill all blue cells"))),"Fill all blue cells")&lt;0,0,(IFERROR(IF(E148="Y",(W148*(X148-PAR!$C$15)*Y148)*C148,IF(AA148&lt;&gt;"","See Comment",IFERROR(W148*X148*Y148*C148,"Fill all blue cells"))),"Fill all blue cells")))</f>
        <v>See Comment</v>
      </c>
      <c r="AA148"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8" s="116" t="str">
        <f t="shared" si="52"/>
        <v/>
      </c>
      <c r="AC148" s="20" t="str">
        <f>IF(AND(E148="Y",D148&lt;PAR!C149),"Non bus miles are less than the minumum of 10 (see column D)",IF(AND(E148="Y",F148&lt;&gt;""),"Non Bus Miles",""))</f>
        <v/>
      </c>
      <c r="AD148" s="20" t="str">
        <f t="shared" si="53"/>
        <v/>
      </c>
      <c r="AE148" s="20" t="str">
        <f t="shared" si="45"/>
        <v>Fill Rated Capacity (see column J),</v>
      </c>
      <c r="AF148" s="20" t="str">
        <f t="shared" si="46"/>
        <v/>
      </c>
      <c r="AG148" s="20" t="str">
        <f t="shared" si="47"/>
        <v>Fill reimbursement % for this LE (see column C)</v>
      </c>
      <c r="AH148" s="20" t="str">
        <f t="shared" si="48"/>
        <v>This route has no eligible riders (see columns L:O)</v>
      </c>
      <c r="AI148" s="20" t="str">
        <f t="shared" si="49"/>
        <v>Fill miles per day (see column D)</v>
      </c>
      <c r="AJ148" s="20" t="str">
        <f t="shared" si="54"/>
        <v>Fill number of operating days (see column F)</v>
      </c>
      <c r="AK148" s="20" t="str">
        <f t="shared" si="55"/>
        <v>Fill Non-Bus Miles with Y or N (See column E)</v>
      </c>
      <c r="AL148" s="98" t="s">
        <v>422</v>
      </c>
      <c r="AM148" s="20" t="str">
        <f t="shared" si="56"/>
        <v/>
      </c>
    </row>
    <row r="149" spans="1:39" x14ac:dyDescent="0.75">
      <c r="A149" s="1" t="s">
        <v>234</v>
      </c>
      <c r="B149" s="130"/>
      <c r="C149" s="36"/>
      <c r="D149" s="42"/>
      <c r="E149" s="47"/>
      <c r="F149" s="44"/>
      <c r="G149" s="35"/>
      <c r="H149" s="18" t="s">
        <v>50</v>
      </c>
      <c r="I149" s="125"/>
      <c r="J149" s="35"/>
      <c r="K149" s="18" t="str">
        <f t="shared" si="40"/>
        <v/>
      </c>
      <c r="L149" s="38"/>
      <c r="M149" s="38"/>
      <c r="N149" s="38"/>
      <c r="O149" s="38"/>
      <c r="P149" s="18" t="str">
        <f t="shared" si="50"/>
        <v/>
      </c>
      <c r="Q149" s="38"/>
      <c r="R149" s="38"/>
      <c r="S149" s="38"/>
      <c r="T149" s="38"/>
      <c r="U149" s="18">
        <f t="shared" si="41"/>
        <v>0</v>
      </c>
      <c r="V149" s="18" t="str">
        <f t="shared" si="42"/>
        <v/>
      </c>
      <c r="W149" s="18" t="str">
        <f>IF(E149="Y",PAR!$C$12,IF(J149="","",IF(J149&lt;11,PAR!$C$6,IF(J149&lt;50,PAR!$C$7,IF(J149&lt;60,PAR!$C$8,IF(J149&lt;70,PAR!$C$9,IF(J149&lt;80,PAR!$C$10,IF(J149&gt;79,PAR!$C$11,0))))))))</f>
        <v/>
      </c>
      <c r="X149" s="18" t="str">
        <f t="shared" si="43"/>
        <v/>
      </c>
      <c r="Y149" s="21" t="str">
        <f t="shared" si="44"/>
        <v/>
      </c>
      <c r="Z149" s="100" t="str">
        <f>IF(IFERROR(IF(E149="Y",(W149*(X149-PAR!$C$15)*Y149)*C149,IF(AA149&lt;&gt;"","See Comment",IFERROR(W149*X149*Y149*C149,"Fill all blue cells"))),"Fill all blue cells")&lt;0,0,(IFERROR(IF(E149="Y",(W149*(X149-PAR!$C$15)*Y149)*C149,IF(AA149&lt;&gt;"","See Comment",IFERROR(W149*X149*Y149*C149,"Fill all blue cells"))),"Fill all blue cells")))</f>
        <v>See Comment</v>
      </c>
      <c r="AA149"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9" s="116" t="str">
        <f t="shared" si="52"/>
        <v/>
      </c>
      <c r="AC149" s="20" t="str">
        <f>IF(AND(E149="Y",D149&lt;PAR!C150),"Non bus miles are less than the minumum of 10 (see column D)",IF(AND(E149="Y",F149&lt;&gt;""),"Non Bus Miles",""))</f>
        <v/>
      </c>
      <c r="AD149" s="20" t="str">
        <f t="shared" si="53"/>
        <v/>
      </c>
      <c r="AE149" s="20" t="str">
        <f t="shared" si="45"/>
        <v>Fill Rated Capacity (see column J),</v>
      </c>
      <c r="AF149" s="20" t="str">
        <f t="shared" si="46"/>
        <v/>
      </c>
      <c r="AG149" s="20" t="str">
        <f t="shared" si="47"/>
        <v>Fill reimbursement % for this LE (see column C)</v>
      </c>
      <c r="AH149" s="20" t="str">
        <f t="shared" si="48"/>
        <v>This route has no eligible riders (see columns L:O)</v>
      </c>
      <c r="AI149" s="20" t="str">
        <f t="shared" si="49"/>
        <v>Fill miles per day (see column D)</v>
      </c>
      <c r="AJ149" s="20" t="str">
        <f t="shared" si="54"/>
        <v>Fill number of operating days (see column F)</v>
      </c>
      <c r="AK149" s="20" t="str">
        <f t="shared" si="55"/>
        <v>Fill Non-Bus Miles with Y or N (See column E)</v>
      </c>
      <c r="AL149" s="98" t="s">
        <v>422</v>
      </c>
      <c r="AM149" s="20" t="str">
        <f t="shared" si="56"/>
        <v/>
      </c>
    </row>
    <row r="150" spans="1:39" x14ac:dyDescent="0.75">
      <c r="A150" s="1" t="s">
        <v>235</v>
      </c>
      <c r="B150" s="130"/>
      <c r="C150" s="33"/>
      <c r="D150" s="41"/>
      <c r="E150" s="48"/>
      <c r="F150" s="45"/>
      <c r="G150" s="32"/>
      <c r="H150" s="16" t="s">
        <v>50</v>
      </c>
      <c r="I150" s="126"/>
      <c r="J150" s="32"/>
      <c r="K150" s="16" t="str">
        <f t="shared" si="40"/>
        <v/>
      </c>
      <c r="L150" s="37"/>
      <c r="M150" s="37"/>
      <c r="N150" s="37"/>
      <c r="O150" s="37"/>
      <c r="P150" s="16" t="str">
        <f t="shared" si="50"/>
        <v/>
      </c>
      <c r="Q150" s="37"/>
      <c r="R150" s="37"/>
      <c r="S150" s="37"/>
      <c r="T150" s="37"/>
      <c r="U150" s="16">
        <f t="shared" si="41"/>
        <v>0</v>
      </c>
      <c r="V150" s="16" t="str">
        <f t="shared" si="42"/>
        <v/>
      </c>
      <c r="W150" s="16" t="str">
        <f>IF(E150="Y",PAR!$C$12,IF(J150="","",IF(J150&lt;11,PAR!$C$6,IF(J150&lt;50,PAR!$C$7,IF(J150&lt;60,PAR!$C$8,IF(J150&lt;70,PAR!$C$9,IF(J150&lt;80,PAR!$C$10,IF(J150&gt;79,PAR!$C$11,0))))))))</f>
        <v/>
      </c>
      <c r="X150" s="16" t="str">
        <f t="shared" si="43"/>
        <v/>
      </c>
      <c r="Y150" s="22" t="str">
        <f t="shared" si="44"/>
        <v/>
      </c>
      <c r="Z150" s="100" t="str">
        <f>IF(IFERROR(IF(E150="Y",(W150*(X150-PAR!$C$15)*Y150)*C150,IF(AA150&lt;&gt;"","See Comment",IFERROR(W150*X150*Y150*C150,"Fill all blue cells"))),"Fill all blue cells")&lt;0,0,(IFERROR(IF(E150="Y",(W150*(X150-PAR!$C$15)*Y150)*C150,IF(AA150&lt;&gt;"","See Comment",IFERROR(W150*X150*Y150*C150,"Fill all blue cells"))),"Fill all blue cells")))</f>
        <v>See Comment</v>
      </c>
      <c r="AA150"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0" s="116" t="str">
        <f t="shared" si="52"/>
        <v/>
      </c>
      <c r="AC150" s="20" t="str">
        <f>IF(AND(E150="Y",D150&lt;PAR!C151),"Non bus miles are less than the minumum of 10 (see column D)",IF(AND(E150="Y",F150&lt;&gt;""),"Non Bus Miles",""))</f>
        <v/>
      </c>
      <c r="AD150" s="20" t="str">
        <f t="shared" si="53"/>
        <v/>
      </c>
      <c r="AE150" s="20" t="str">
        <f t="shared" si="45"/>
        <v>Fill Rated Capacity (see column J),</v>
      </c>
      <c r="AF150" s="20" t="str">
        <f t="shared" si="46"/>
        <v/>
      </c>
      <c r="AG150" s="20" t="str">
        <f t="shared" si="47"/>
        <v>Fill reimbursement % for this LE (see column C)</v>
      </c>
      <c r="AH150" s="20" t="str">
        <f t="shared" si="48"/>
        <v>This route has no eligible riders (see columns L:O)</v>
      </c>
      <c r="AI150" s="20" t="str">
        <f t="shared" si="49"/>
        <v>Fill miles per day (see column D)</v>
      </c>
      <c r="AJ150" s="20" t="str">
        <f t="shared" si="54"/>
        <v>Fill number of operating days (see column F)</v>
      </c>
      <c r="AK150" s="20" t="str">
        <f t="shared" si="55"/>
        <v>Fill Non-Bus Miles with Y or N (See column E)</v>
      </c>
      <c r="AL150" s="98" t="s">
        <v>422</v>
      </c>
      <c r="AM150" s="20" t="str">
        <f t="shared" si="56"/>
        <v/>
      </c>
    </row>
    <row r="151" spans="1:39" x14ac:dyDescent="0.75">
      <c r="A151" s="1" t="s">
        <v>236</v>
      </c>
      <c r="B151" s="130"/>
      <c r="C151" s="36"/>
      <c r="D151" s="42"/>
      <c r="E151" s="47"/>
      <c r="F151" s="44"/>
      <c r="G151" s="35"/>
      <c r="H151" s="18" t="s">
        <v>50</v>
      </c>
      <c r="I151" s="125"/>
      <c r="J151" s="35"/>
      <c r="K151" s="18" t="str">
        <f t="shared" si="40"/>
        <v/>
      </c>
      <c r="L151" s="38"/>
      <c r="M151" s="38"/>
      <c r="N151" s="38"/>
      <c r="O151" s="38"/>
      <c r="P151" s="18" t="str">
        <f t="shared" si="50"/>
        <v/>
      </c>
      <c r="Q151" s="38"/>
      <c r="R151" s="38"/>
      <c r="S151" s="38"/>
      <c r="T151" s="38"/>
      <c r="U151" s="18">
        <f t="shared" si="41"/>
        <v>0</v>
      </c>
      <c r="V151" s="18" t="str">
        <f t="shared" si="42"/>
        <v/>
      </c>
      <c r="W151" s="18" t="str">
        <f>IF(E151="Y",PAR!$C$12,IF(J151="","",IF(J151&lt;11,PAR!$C$6,IF(J151&lt;50,PAR!$C$7,IF(J151&lt;60,PAR!$C$8,IF(J151&lt;70,PAR!$C$9,IF(J151&lt;80,PAR!$C$10,IF(J151&gt;79,PAR!$C$11,0))))))))</f>
        <v/>
      </c>
      <c r="X151" s="18" t="str">
        <f t="shared" si="43"/>
        <v/>
      </c>
      <c r="Y151" s="21" t="str">
        <f t="shared" si="44"/>
        <v/>
      </c>
      <c r="Z151" s="100" t="str">
        <f>IF(IFERROR(IF(E151="Y",(W151*(X151-PAR!$C$15)*Y151)*C151,IF(AA151&lt;&gt;"","See Comment",IFERROR(W151*X151*Y151*C151,"Fill all blue cells"))),"Fill all blue cells")&lt;0,0,(IFERROR(IF(E151="Y",(W151*(X151-PAR!$C$15)*Y151)*C151,IF(AA151&lt;&gt;"","See Comment",IFERROR(W151*X151*Y151*C151,"Fill all blue cells"))),"Fill all blue cells")))</f>
        <v>See Comment</v>
      </c>
      <c r="AA151"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1" s="116" t="str">
        <f t="shared" si="52"/>
        <v/>
      </c>
      <c r="AC151" s="20" t="str">
        <f>IF(AND(E151="Y",D151&lt;PAR!C152),"Non bus miles are less than the minumum of 10 (see column D)",IF(AND(E151="Y",F151&lt;&gt;""),"Non Bus Miles",""))</f>
        <v/>
      </c>
      <c r="AD151" s="20" t="str">
        <f t="shared" si="53"/>
        <v/>
      </c>
      <c r="AE151" s="20" t="str">
        <f t="shared" si="45"/>
        <v>Fill Rated Capacity (see column J),</v>
      </c>
      <c r="AF151" s="20" t="str">
        <f t="shared" si="46"/>
        <v/>
      </c>
      <c r="AG151" s="20" t="str">
        <f t="shared" si="47"/>
        <v>Fill reimbursement % for this LE (see column C)</v>
      </c>
      <c r="AH151" s="20" t="str">
        <f t="shared" si="48"/>
        <v>This route has no eligible riders (see columns L:O)</v>
      </c>
      <c r="AI151" s="20" t="str">
        <f t="shared" si="49"/>
        <v>Fill miles per day (see column D)</v>
      </c>
      <c r="AJ151" s="20" t="str">
        <f t="shared" si="54"/>
        <v>Fill number of operating days (see column F)</v>
      </c>
      <c r="AK151" s="20" t="str">
        <f t="shared" si="55"/>
        <v>Fill Non-Bus Miles with Y or N (See column E)</v>
      </c>
      <c r="AL151" s="98" t="s">
        <v>422</v>
      </c>
      <c r="AM151" s="20" t="str">
        <f t="shared" si="56"/>
        <v/>
      </c>
    </row>
    <row r="152" spans="1:39" x14ac:dyDescent="0.75">
      <c r="A152" s="1" t="s">
        <v>237</v>
      </c>
      <c r="B152" s="130"/>
      <c r="C152" s="33"/>
      <c r="D152" s="41"/>
      <c r="E152" s="48"/>
      <c r="F152" s="45"/>
      <c r="G152" s="32"/>
      <c r="H152" s="16" t="s">
        <v>50</v>
      </c>
      <c r="I152" s="126"/>
      <c r="J152" s="32"/>
      <c r="K152" s="16" t="str">
        <f t="shared" si="40"/>
        <v/>
      </c>
      <c r="L152" s="37"/>
      <c r="M152" s="37"/>
      <c r="N152" s="37"/>
      <c r="O152" s="37"/>
      <c r="P152" s="16" t="str">
        <f t="shared" si="50"/>
        <v/>
      </c>
      <c r="Q152" s="37"/>
      <c r="R152" s="37"/>
      <c r="S152" s="37"/>
      <c r="T152" s="37"/>
      <c r="U152" s="16">
        <f t="shared" si="41"/>
        <v>0</v>
      </c>
      <c r="V152" s="16" t="str">
        <f t="shared" si="42"/>
        <v/>
      </c>
      <c r="W152" s="16" t="str">
        <f>IF(E152="Y",PAR!$C$12,IF(J152="","",IF(J152&lt;11,PAR!$C$6,IF(J152&lt;50,PAR!$C$7,IF(J152&lt;60,PAR!$C$8,IF(J152&lt;70,PAR!$C$9,IF(J152&lt;80,PAR!$C$10,IF(J152&gt;79,PAR!$C$11,0))))))))</f>
        <v/>
      </c>
      <c r="X152" s="16" t="str">
        <f t="shared" si="43"/>
        <v/>
      </c>
      <c r="Y152" s="22" t="str">
        <f t="shared" si="44"/>
        <v/>
      </c>
      <c r="Z152" s="100" t="str">
        <f>IF(IFERROR(IF(E152="Y",(W152*(X152-PAR!$C$15)*Y152)*C152,IF(AA152&lt;&gt;"","See Comment",IFERROR(W152*X152*Y152*C152,"Fill all blue cells"))),"Fill all blue cells")&lt;0,0,(IFERROR(IF(E152="Y",(W152*(X152-PAR!$C$15)*Y152)*C152,IF(AA152&lt;&gt;"","See Comment",IFERROR(W152*X152*Y152*C152,"Fill all blue cells"))),"Fill all blue cells")))</f>
        <v>See Comment</v>
      </c>
      <c r="AA152"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2" s="116" t="str">
        <f t="shared" si="52"/>
        <v/>
      </c>
      <c r="AC152" s="20" t="str">
        <f>IF(AND(E152="Y",D152&lt;PAR!C153),"Non bus miles are less than the minumum of 10 (see column D)",IF(AND(E152="Y",F152&lt;&gt;""),"Non Bus Miles",""))</f>
        <v/>
      </c>
      <c r="AD152" s="20" t="str">
        <f t="shared" si="53"/>
        <v/>
      </c>
      <c r="AE152" s="20" t="str">
        <f t="shared" si="45"/>
        <v>Fill Rated Capacity (see column J),</v>
      </c>
      <c r="AF152" s="20" t="str">
        <f t="shared" si="46"/>
        <v/>
      </c>
      <c r="AG152" s="20" t="str">
        <f t="shared" si="47"/>
        <v>Fill reimbursement % for this LE (see column C)</v>
      </c>
      <c r="AH152" s="20" t="str">
        <f t="shared" si="48"/>
        <v>This route has no eligible riders (see columns L:O)</v>
      </c>
      <c r="AI152" s="20" t="str">
        <f t="shared" si="49"/>
        <v>Fill miles per day (see column D)</v>
      </c>
      <c r="AJ152" s="20" t="str">
        <f t="shared" si="54"/>
        <v>Fill number of operating days (see column F)</v>
      </c>
      <c r="AK152" s="20" t="str">
        <f t="shared" si="55"/>
        <v>Fill Non-Bus Miles with Y or N (See column E)</v>
      </c>
      <c r="AL152" s="98" t="s">
        <v>422</v>
      </c>
      <c r="AM152" s="20" t="str">
        <f t="shared" si="56"/>
        <v/>
      </c>
    </row>
    <row r="153" spans="1:39" x14ac:dyDescent="0.75">
      <c r="A153" s="1" t="s">
        <v>238</v>
      </c>
      <c r="B153" s="130"/>
      <c r="C153" s="36"/>
      <c r="D153" s="42"/>
      <c r="E153" s="47"/>
      <c r="F153" s="44"/>
      <c r="G153" s="35"/>
      <c r="H153" s="18" t="s">
        <v>50</v>
      </c>
      <c r="I153" s="125"/>
      <c r="J153" s="35"/>
      <c r="K153" s="18" t="str">
        <f t="shared" si="40"/>
        <v/>
      </c>
      <c r="L153" s="38"/>
      <c r="M153" s="38"/>
      <c r="N153" s="38"/>
      <c r="O153" s="38"/>
      <c r="P153" s="18" t="str">
        <f t="shared" si="50"/>
        <v/>
      </c>
      <c r="Q153" s="38"/>
      <c r="R153" s="38"/>
      <c r="S153" s="38"/>
      <c r="T153" s="38"/>
      <c r="U153" s="18">
        <f t="shared" si="41"/>
        <v>0</v>
      </c>
      <c r="V153" s="18" t="str">
        <f t="shared" si="42"/>
        <v/>
      </c>
      <c r="W153" s="18" t="str">
        <f>IF(E153="Y",PAR!$C$12,IF(J153="","",IF(J153&lt;11,PAR!$C$6,IF(J153&lt;50,PAR!$C$7,IF(J153&lt;60,PAR!$C$8,IF(J153&lt;70,PAR!$C$9,IF(J153&lt;80,PAR!$C$10,IF(J153&gt;79,PAR!$C$11,0))))))))</f>
        <v/>
      </c>
      <c r="X153" s="18" t="str">
        <f t="shared" si="43"/>
        <v/>
      </c>
      <c r="Y153" s="21" t="str">
        <f t="shared" si="44"/>
        <v/>
      </c>
      <c r="Z153" s="100" t="str">
        <f>IF(IFERROR(IF(E153="Y",(W153*(X153-PAR!$C$15)*Y153)*C153,IF(AA153&lt;&gt;"","See Comment",IFERROR(W153*X153*Y153*C153,"Fill all blue cells"))),"Fill all blue cells")&lt;0,0,(IFERROR(IF(E153="Y",(W153*(X153-PAR!$C$15)*Y153)*C153,IF(AA153&lt;&gt;"","See Comment",IFERROR(W153*X153*Y153*C153,"Fill all blue cells"))),"Fill all blue cells")))</f>
        <v>See Comment</v>
      </c>
      <c r="AA153"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3" s="116" t="str">
        <f t="shared" si="52"/>
        <v/>
      </c>
      <c r="AC153" s="20" t="str">
        <f>IF(AND(E153="Y",D153&lt;PAR!C154),"Non bus miles are less than the minumum of 10 (see column D)",IF(AND(E153="Y",F153&lt;&gt;""),"Non Bus Miles",""))</f>
        <v/>
      </c>
      <c r="AD153" s="20" t="str">
        <f t="shared" si="53"/>
        <v/>
      </c>
      <c r="AE153" s="20" t="str">
        <f t="shared" si="45"/>
        <v>Fill Rated Capacity (see column J),</v>
      </c>
      <c r="AF153" s="20" t="str">
        <f t="shared" si="46"/>
        <v/>
      </c>
      <c r="AG153" s="20" t="str">
        <f t="shared" si="47"/>
        <v>Fill reimbursement % for this LE (see column C)</v>
      </c>
      <c r="AH153" s="20" t="str">
        <f t="shared" si="48"/>
        <v>This route has no eligible riders (see columns L:O)</v>
      </c>
      <c r="AI153" s="20" t="str">
        <f t="shared" si="49"/>
        <v>Fill miles per day (see column D)</v>
      </c>
      <c r="AJ153" s="20" t="str">
        <f t="shared" si="54"/>
        <v>Fill number of operating days (see column F)</v>
      </c>
      <c r="AK153" s="20" t="str">
        <f t="shared" si="55"/>
        <v>Fill Non-Bus Miles with Y or N (See column E)</v>
      </c>
      <c r="AL153" s="98" t="s">
        <v>422</v>
      </c>
      <c r="AM153" s="20" t="str">
        <f t="shared" si="56"/>
        <v/>
      </c>
    </row>
    <row r="154" spans="1:39" x14ac:dyDescent="0.75">
      <c r="A154" s="1" t="s">
        <v>239</v>
      </c>
      <c r="B154" s="130"/>
      <c r="C154" s="33"/>
      <c r="D154" s="41"/>
      <c r="E154" s="48"/>
      <c r="F154" s="45"/>
      <c r="G154" s="32"/>
      <c r="H154" s="16" t="s">
        <v>50</v>
      </c>
      <c r="I154" s="126"/>
      <c r="J154" s="32"/>
      <c r="K154" s="16" t="str">
        <f t="shared" si="40"/>
        <v/>
      </c>
      <c r="L154" s="37"/>
      <c r="M154" s="37"/>
      <c r="N154" s="37"/>
      <c r="O154" s="37"/>
      <c r="P154" s="16" t="str">
        <f t="shared" si="50"/>
        <v/>
      </c>
      <c r="Q154" s="37"/>
      <c r="R154" s="37"/>
      <c r="S154" s="37"/>
      <c r="T154" s="37"/>
      <c r="U154" s="16">
        <f t="shared" si="41"/>
        <v>0</v>
      </c>
      <c r="V154" s="16" t="str">
        <f t="shared" si="42"/>
        <v/>
      </c>
      <c r="W154" s="16" t="str">
        <f>IF(E154="Y",PAR!$C$12,IF(J154="","",IF(J154&lt;11,PAR!$C$6,IF(J154&lt;50,PAR!$C$7,IF(J154&lt;60,PAR!$C$8,IF(J154&lt;70,PAR!$C$9,IF(J154&lt;80,PAR!$C$10,IF(J154&gt;79,PAR!$C$11,0))))))))</f>
        <v/>
      </c>
      <c r="X154" s="16" t="str">
        <f t="shared" si="43"/>
        <v/>
      </c>
      <c r="Y154" s="22" t="str">
        <f t="shared" si="44"/>
        <v/>
      </c>
      <c r="Z154" s="100" t="str">
        <f>IF(IFERROR(IF(E154="Y",(W154*(X154-PAR!$C$15)*Y154)*C154,IF(AA154&lt;&gt;"","See Comment",IFERROR(W154*X154*Y154*C154,"Fill all blue cells"))),"Fill all blue cells")&lt;0,0,(IFERROR(IF(E154="Y",(W154*(X154-PAR!$C$15)*Y154)*C154,IF(AA154&lt;&gt;"","See Comment",IFERROR(W154*X154*Y154*C154,"Fill all blue cells"))),"Fill all blue cells")))</f>
        <v>See Comment</v>
      </c>
      <c r="AA154"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4" s="116" t="str">
        <f t="shared" si="52"/>
        <v/>
      </c>
      <c r="AC154" s="20" t="str">
        <f>IF(AND(E154="Y",D154&lt;PAR!C155),"Non bus miles are less than the minumum of 10 (see column D)",IF(AND(E154="Y",F154&lt;&gt;""),"Non Bus Miles",""))</f>
        <v/>
      </c>
      <c r="AD154" s="20" t="str">
        <f t="shared" si="53"/>
        <v/>
      </c>
      <c r="AE154" s="20" t="str">
        <f t="shared" si="45"/>
        <v>Fill Rated Capacity (see column J),</v>
      </c>
      <c r="AF154" s="20" t="str">
        <f t="shared" si="46"/>
        <v/>
      </c>
      <c r="AG154" s="20" t="str">
        <f t="shared" si="47"/>
        <v>Fill reimbursement % for this LE (see column C)</v>
      </c>
      <c r="AH154" s="20" t="str">
        <f t="shared" si="48"/>
        <v>This route has no eligible riders (see columns L:O)</v>
      </c>
      <c r="AI154" s="20" t="str">
        <f t="shared" si="49"/>
        <v>Fill miles per day (see column D)</v>
      </c>
      <c r="AJ154" s="20" t="str">
        <f t="shared" si="54"/>
        <v>Fill number of operating days (see column F)</v>
      </c>
      <c r="AK154" s="20" t="str">
        <f t="shared" si="55"/>
        <v>Fill Non-Bus Miles with Y or N (See column E)</v>
      </c>
      <c r="AL154" s="98" t="s">
        <v>422</v>
      </c>
      <c r="AM154" s="20" t="str">
        <f t="shared" si="56"/>
        <v/>
      </c>
    </row>
    <row r="155" spans="1:39" x14ac:dyDescent="0.75">
      <c r="A155" s="1" t="s">
        <v>240</v>
      </c>
      <c r="B155" s="130"/>
      <c r="C155" s="36"/>
      <c r="D155" s="42"/>
      <c r="E155" s="47"/>
      <c r="F155" s="44"/>
      <c r="G155" s="35"/>
      <c r="H155" s="18" t="s">
        <v>50</v>
      </c>
      <c r="I155" s="125"/>
      <c r="J155" s="35"/>
      <c r="K155" s="18" t="str">
        <f t="shared" si="40"/>
        <v/>
      </c>
      <c r="L155" s="38"/>
      <c r="M155" s="38"/>
      <c r="N155" s="38"/>
      <c r="O155" s="38"/>
      <c r="P155" s="18" t="str">
        <f t="shared" si="50"/>
        <v/>
      </c>
      <c r="Q155" s="38"/>
      <c r="R155" s="38"/>
      <c r="S155" s="38"/>
      <c r="T155" s="38"/>
      <c r="U155" s="18">
        <f t="shared" si="41"/>
        <v>0</v>
      </c>
      <c r="V155" s="18" t="str">
        <f t="shared" si="42"/>
        <v/>
      </c>
      <c r="W155" s="18" t="str">
        <f>IF(E155="Y",PAR!$C$12,IF(J155="","",IF(J155&lt;11,PAR!$C$6,IF(J155&lt;50,PAR!$C$7,IF(J155&lt;60,PAR!$C$8,IF(J155&lt;70,PAR!$C$9,IF(J155&lt;80,PAR!$C$10,IF(J155&gt;79,PAR!$C$11,0))))))))</f>
        <v/>
      </c>
      <c r="X155" s="18" t="str">
        <f t="shared" si="43"/>
        <v/>
      </c>
      <c r="Y155" s="21" t="str">
        <f t="shared" si="44"/>
        <v/>
      </c>
      <c r="Z155" s="100" t="str">
        <f>IF(IFERROR(IF(E155="Y",(W155*(X155-PAR!$C$15)*Y155)*C155,IF(AA155&lt;&gt;"","See Comment",IFERROR(W155*X155*Y155*C155,"Fill all blue cells"))),"Fill all blue cells")&lt;0,0,(IFERROR(IF(E155="Y",(W155*(X155-PAR!$C$15)*Y155)*C155,IF(AA155&lt;&gt;"","See Comment",IFERROR(W155*X155*Y155*C155,"Fill all blue cells"))),"Fill all blue cells")))</f>
        <v>See Comment</v>
      </c>
      <c r="AA155"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5" s="116" t="str">
        <f t="shared" si="52"/>
        <v/>
      </c>
      <c r="AC155" s="20" t="str">
        <f>IF(AND(E155="Y",D155&lt;PAR!C156),"Non bus miles are less than the minumum of 10 (see column D)",IF(AND(E155="Y",F155&lt;&gt;""),"Non Bus Miles",""))</f>
        <v/>
      </c>
      <c r="AD155" s="20" t="str">
        <f t="shared" si="53"/>
        <v/>
      </c>
      <c r="AE155" s="20" t="str">
        <f t="shared" si="45"/>
        <v>Fill Rated Capacity (see column J),</v>
      </c>
      <c r="AF155" s="20" t="str">
        <f t="shared" si="46"/>
        <v/>
      </c>
      <c r="AG155" s="20" t="str">
        <f t="shared" si="47"/>
        <v>Fill reimbursement % for this LE (see column C)</v>
      </c>
      <c r="AH155" s="20" t="str">
        <f t="shared" si="48"/>
        <v>This route has no eligible riders (see columns L:O)</v>
      </c>
      <c r="AI155" s="20" t="str">
        <f t="shared" si="49"/>
        <v>Fill miles per day (see column D)</v>
      </c>
      <c r="AJ155" s="20" t="str">
        <f t="shared" si="54"/>
        <v>Fill number of operating days (see column F)</v>
      </c>
      <c r="AK155" s="20" t="str">
        <f t="shared" si="55"/>
        <v>Fill Non-Bus Miles with Y or N (See column E)</v>
      </c>
      <c r="AL155" s="98" t="s">
        <v>422</v>
      </c>
      <c r="AM155" s="20" t="str">
        <f t="shared" si="56"/>
        <v/>
      </c>
    </row>
    <row r="156" spans="1:39" x14ac:dyDescent="0.75">
      <c r="A156" s="1" t="s">
        <v>241</v>
      </c>
      <c r="B156" s="130"/>
      <c r="C156" s="33"/>
      <c r="D156" s="41"/>
      <c r="E156" s="48"/>
      <c r="F156" s="45"/>
      <c r="G156" s="32"/>
      <c r="H156" s="16" t="s">
        <v>50</v>
      </c>
      <c r="I156" s="126"/>
      <c r="J156" s="32"/>
      <c r="K156" s="16" t="str">
        <f t="shared" si="40"/>
        <v/>
      </c>
      <c r="L156" s="37"/>
      <c r="M156" s="37"/>
      <c r="N156" s="37"/>
      <c r="O156" s="37"/>
      <c r="P156" s="16" t="str">
        <f t="shared" si="50"/>
        <v/>
      </c>
      <c r="Q156" s="37"/>
      <c r="R156" s="37"/>
      <c r="S156" s="37"/>
      <c r="T156" s="37"/>
      <c r="U156" s="16">
        <f t="shared" si="41"/>
        <v>0</v>
      </c>
      <c r="V156" s="16" t="str">
        <f t="shared" si="42"/>
        <v/>
      </c>
      <c r="W156" s="16" t="str">
        <f>IF(E156="Y",PAR!$C$12,IF(J156="","",IF(J156&lt;11,PAR!$C$6,IF(J156&lt;50,PAR!$C$7,IF(J156&lt;60,PAR!$C$8,IF(J156&lt;70,PAR!$C$9,IF(J156&lt;80,PAR!$C$10,IF(J156&gt;79,PAR!$C$11,0))))))))</f>
        <v/>
      </c>
      <c r="X156" s="16" t="str">
        <f t="shared" si="43"/>
        <v/>
      </c>
      <c r="Y156" s="22" t="str">
        <f t="shared" si="44"/>
        <v/>
      </c>
      <c r="Z156" s="100" t="str">
        <f>IF(IFERROR(IF(E156="Y",(W156*(X156-PAR!$C$15)*Y156)*C156,IF(AA156&lt;&gt;"","See Comment",IFERROR(W156*X156*Y156*C156,"Fill all blue cells"))),"Fill all blue cells")&lt;0,0,(IFERROR(IF(E156="Y",(W156*(X156-PAR!$C$15)*Y156)*C156,IF(AA156&lt;&gt;"","See Comment",IFERROR(W156*X156*Y156*C156,"Fill all blue cells"))),"Fill all blue cells")))</f>
        <v>See Comment</v>
      </c>
      <c r="AA156"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6" s="116" t="str">
        <f t="shared" si="52"/>
        <v/>
      </c>
      <c r="AC156" s="20" t="str">
        <f>IF(AND(E156="Y",D156&lt;PAR!C157),"Non bus miles are less than the minumum of 10 (see column D)",IF(AND(E156="Y",F156&lt;&gt;""),"Non Bus Miles",""))</f>
        <v/>
      </c>
      <c r="AD156" s="20" t="str">
        <f t="shared" si="53"/>
        <v/>
      </c>
      <c r="AE156" s="20" t="str">
        <f t="shared" si="45"/>
        <v>Fill Rated Capacity (see column J),</v>
      </c>
      <c r="AF156" s="20" t="str">
        <f t="shared" si="46"/>
        <v/>
      </c>
      <c r="AG156" s="20" t="str">
        <f t="shared" si="47"/>
        <v>Fill reimbursement % for this LE (see column C)</v>
      </c>
      <c r="AH156" s="20" t="str">
        <f t="shared" si="48"/>
        <v>This route has no eligible riders (see columns L:O)</v>
      </c>
      <c r="AI156" s="20" t="str">
        <f t="shared" si="49"/>
        <v>Fill miles per day (see column D)</v>
      </c>
      <c r="AJ156" s="20" t="str">
        <f t="shared" si="54"/>
        <v>Fill number of operating days (see column F)</v>
      </c>
      <c r="AK156" s="20" t="str">
        <f t="shared" si="55"/>
        <v>Fill Non-Bus Miles with Y or N (See column E)</v>
      </c>
      <c r="AL156" s="98" t="s">
        <v>422</v>
      </c>
      <c r="AM156" s="20" t="str">
        <f t="shared" si="56"/>
        <v/>
      </c>
    </row>
    <row r="157" spans="1:39" x14ac:dyDescent="0.75">
      <c r="A157" s="1" t="s">
        <v>242</v>
      </c>
      <c r="B157" s="130"/>
      <c r="C157" s="36"/>
      <c r="D157" s="42"/>
      <c r="E157" s="47"/>
      <c r="F157" s="44"/>
      <c r="G157" s="35"/>
      <c r="H157" s="18" t="s">
        <v>50</v>
      </c>
      <c r="I157" s="125"/>
      <c r="J157" s="35"/>
      <c r="K157" s="18" t="str">
        <f t="shared" si="40"/>
        <v/>
      </c>
      <c r="L157" s="38"/>
      <c r="M157" s="38"/>
      <c r="N157" s="38"/>
      <c r="O157" s="38"/>
      <c r="P157" s="18" t="str">
        <f t="shared" si="50"/>
        <v/>
      </c>
      <c r="Q157" s="38"/>
      <c r="R157" s="38"/>
      <c r="S157" s="38"/>
      <c r="T157" s="38"/>
      <c r="U157" s="18">
        <f t="shared" si="41"/>
        <v>0</v>
      </c>
      <c r="V157" s="18" t="str">
        <f t="shared" si="42"/>
        <v/>
      </c>
      <c r="W157" s="18" t="str">
        <f>IF(E157="Y",PAR!$C$12,IF(J157="","",IF(J157&lt;11,PAR!$C$6,IF(J157&lt;50,PAR!$C$7,IF(J157&lt;60,PAR!$C$8,IF(J157&lt;70,PAR!$C$9,IF(J157&lt;80,PAR!$C$10,IF(J157&gt;79,PAR!$C$11,0))))))))</f>
        <v/>
      </c>
      <c r="X157" s="18" t="str">
        <f t="shared" si="43"/>
        <v/>
      </c>
      <c r="Y157" s="21" t="str">
        <f t="shared" si="44"/>
        <v/>
      </c>
      <c r="Z157" s="100" t="str">
        <f>IF(IFERROR(IF(E157="Y",(W157*(X157-PAR!$C$15)*Y157)*C157,IF(AA157&lt;&gt;"","See Comment",IFERROR(W157*X157*Y157*C157,"Fill all blue cells"))),"Fill all blue cells")&lt;0,0,(IFERROR(IF(E157="Y",(W157*(X157-PAR!$C$15)*Y157)*C157,IF(AA157&lt;&gt;"","See Comment",IFERROR(W157*X157*Y157*C157,"Fill all blue cells"))),"Fill all blue cells")))</f>
        <v>See Comment</v>
      </c>
      <c r="AA157"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7" s="116" t="str">
        <f t="shared" si="52"/>
        <v/>
      </c>
      <c r="AC157" s="20" t="str">
        <f>IF(AND(E157="Y",D157&lt;PAR!C158),"Non bus miles are less than the minumum of 10 (see column D)",IF(AND(E157="Y",F157&lt;&gt;""),"Non Bus Miles",""))</f>
        <v/>
      </c>
      <c r="AD157" s="20" t="str">
        <f t="shared" si="53"/>
        <v/>
      </c>
      <c r="AE157" s="20" t="str">
        <f t="shared" si="45"/>
        <v>Fill Rated Capacity (see column J),</v>
      </c>
      <c r="AF157" s="20" t="str">
        <f t="shared" si="46"/>
        <v/>
      </c>
      <c r="AG157" s="20" t="str">
        <f t="shared" si="47"/>
        <v>Fill reimbursement % for this LE (see column C)</v>
      </c>
      <c r="AH157" s="20" t="str">
        <f t="shared" si="48"/>
        <v>This route has no eligible riders (see columns L:O)</v>
      </c>
      <c r="AI157" s="20" t="str">
        <f t="shared" si="49"/>
        <v>Fill miles per day (see column D)</v>
      </c>
      <c r="AJ157" s="20" t="str">
        <f t="shared" si="54"/>
        <v>Fill number of operating days (see column F)</v>
      </c>
      <c r="AK157" s="20" t="str">
        <f t="shared" si="55"/>
        <v>Fill Non-Bus Miles with Y or N (See column E)</v>
      </c>
      <c r="AL157" s="98" t="s">
        <v>422</v>
      </c>
      <c r="AM157" s="20" t="str">
        <f t="shared" si="56"/>
        <v/>
      </c>
    </row>
    <row r="158" spans="1:39" x14ac:dyDescent="0.75">
      <c r="A158" s="1" t="s">
        <v>243</v>
      </c>
      <c r="B158" s="130"/>
      <c r="C158" s="33"/>
      <c r="D158" s="41"/>
      <c r="E158" s="48"/>
      <c r="F158" s="45"/>
      <c r="G158" s="32"/>
      <c r="H158" s="16" t="s">
        <v>50</v>
      </c>
      <c r="I158" s="126"/>
      <c r="J158" s="32"/>
      <c r="K158" s="16" t="str">
        <f t="shared" si="40"/>
        <v/>
      </c>
      <c r="L158" s="37"/>
      <c r="M158" s="37"/>
      <c r="N158" s="37"/>
      <c r="O158" s="37"/>
      <c r="P158" s="16" t="str">
        <f t="shared" si="50"/>
        <v/>
      </c>
      <c r="Q158" s="37"/>
      <c r="R158" s="37"/>
      <c r="S158" s="37"/>
      <c r="T158" s="37"/>
      <c r="U158" s="16">
        <f t="shared" si="41"/>
        <v>0</v>
      </c>
      <c r="V158" s="16" t="str">
        <f t="shared" si="42"/>
        <v/>
      </c>
      <c r="W158" s="16" t="str">
        <f>IF(E158="Y",PAR!$C$12,IF(J158="","",IF(J158&lt;11,PAR!$C$6,IF(J158&lt;50,PAR!$C$7,IF(J158&lt;60,PAR!$C$8,IF(J158&lt;70,PAR!$C$9,IF(J158&lt;80,PAR!$C$10,IF(J158&gt;79,PAR!$C$11,0))))))))</f>
        <v/>
      </c>
      <c r="X158" s="16" t="str">
        <f t="shared" si="43"/>
        <v/>
      </c>
      <c r="Y158" s="22" t="str">
        <f t="shared" si="44"/>
        <v/>
      </c>
      <c r="Z158" s="100" t="str">
        <f>IF(IFERROR(IF(E158="Y",(W158*(X158-PAR!$C$15)*Y158)*C158,IF(AA158&lt;&gt;"","See Comment",IFERROR(W158*X158*Y158*C158,"Fill all blue cells"))),"Fill all blue cells")&lt;0,0,(IFERROR(IF(E158="Y",(W158*(X158-PAR!$C$15)*Y158)*C158,IF(AA158&lt;&gt;"","See Comment",IFERROR(W158*X158*Y158*C158,"Fill all blue cells"))),"Fill all blue cells")))</f>
        <v>See Comment</v>
      </c>
      <c r="AA158"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8" s="116" t="str">
        <f t="shared" si="52"/>
        <v/>
      </c>
      <c r="AC158" s="20" t="str">
        <f>IF(AND(E158="Y",D158&lt;PAR!C159),"Non bus miles are less than the minumum of 10 (see column D)",IF(AND(E158="Y",F158&lt;&gt;""),"Non Bus Miles",""))</f>
        <v/>
      </c>
      <c r="AD158" s="20" t="str">
        <f t="shared" si="53"/>
        <v/>
      </c>
      <c r="AE158" s="20" t="str">
        <f t="shared" si="45"/>
        <v>Fill Rated Capacity (see column J),</v>
      </c>
      <c r="AF158" s="20" t="str">
        <f t="shared" si="46"/>
        <v/>
      </c>
      <c r="AG158" s="20" t="str">
        <f t="shared" si="47"/>
        <v>Fill reimbursement % for this LE (see column C)</v>
      </c>
      <c r="AH158" s="20" t="str">
        <f t="shared" si="48"/>
        <v>This route has no eligible riders (see columns L:O)</v>
      </c>
      <c r="AI158" s="20" t="str">
        <f t="shared" si="49"/>
        <v>Fill miles per day (see column D)</v>
      </c>
      <c r="AJ158" s="20" t="str">
        <f t="shared" si="54"/>
        <v>Fill number of operating days (see column F)</v>
      </c>
      <c r="AK158" s="20" t="str">
        <f t="shared" si="55"/>
        <v>Fill Non-Bus Miles with Y or N (See column E)</v>
      </c>
      <c r="AL158" s="98" t="s">
        <v>422</v>
      </c>
      <c r="AM158" s="20" t="str">
        <f t="shared" si="56"/>
        <v/>
      </c>
    </row>
    <row r="159" spans="1:39" x14ac:dyDescent="0.75">
      <c r="A159" s="1" t="s">
        <v>244</v>
      </c>
      <c r="B159" s="130"/>
      <c r="C159" s="36"/>
      <c r="D159" s="42"/>
      <c r="E159" s="47"/>
      <c r="F159" s="44"/>
      <c r="G159" s="35"/>
      <c r="H159" s="18" t="s">
        <v>50</v>
      </c>
      <c r="I159" s="125"/>
      <c r="J159" s="35"/>
      <c r="K159" s="18" t="str">
        <f t="shared" si="40"/>
        <v/>
      </c>
      <c r="L159" s="38"/>
      <c r="M159" s="38"/>
      <c r="N159" s="38"/>
      <c r="O159" s="38"/>
      <c r="P159" s="18" t="str">
        <f t="shared" si="50"/>
        <v/>
      </c>
      <c r="Q159" s="38"/>
      <c r="R159" s="38"/>
      <c r="S159" s="38"/>
      <c r="T159" s="38"/>
      <c r="U159" s="18">
        <f t="shared" si="41"/>
        <v>0</v>
      </c>
      <c r="V159" s="18" t="str">
        <f t="shared" si="42"/>
        <v/>
      </c>
      <c r="W159" s="18" t="str">
        <f>IF(E159="Y",PAR!$C$12,IF(J159="","",IF(J159&lt;11,PAR!$C$6,IF(J159&lt;50,PAR!$C$7,IF(J159&lt;60,PAR!$C$8,IF(J159&lt;70,PAR!$C$9,IF(J159&lt;80,PAR!$C$10,IF(J159&gt;79,PAR!$C$11,0))))))))</f>
        <v/>
      </c>
      <c r="X159" s="18" t="str">
        <f t="shared" si="43"/>
        <v/>
      </c>
      <c r="Y159" s="21" t="str">
        <f t="shared" si="44"/>
        <v/>
      </c>
      <c r="Z159" s="100" t="str">
        <f>IF(IFERROR(IF(E159="Y",(W159*(X159-PAR!$C$15)*Y159)*C159,IF(AA159&lt;&gt;"","See Comment",IFERROR(W159*X159*Y159*C159,"Fill all blue cells"))),"Fill all blue cells")&lt;0,0,(IFERROR(IF(E159="Y",(W159*(X159-PAR!$C$15)*Y159)*C159,IF(AA159&lt;&gt;"","See Comment",IFERROR(W159*X159*Y159*C159,"Fill all blue cells"))),"Fill all blue cells")))</f>
        <v>See Comment</v>
      </c>
      <c r="AA159"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9" s="116" t="str">
        <f t="shared" si="52"/>
        <v/>
      </c>
      <c r="AC159" s="20" t="str">
        <f>IF(AND(E159="Y",D159&lt;PAR!C160),"Non bus miles are less than the minumum of 10 (see column D)",IF(AND(E159="Y",F159&lt;&gt;""),"Non Bus Miles",""))</f>
        <v/>
      </c>
      <c r="AD159" s="20" t="str">
        <f t="shared" si="53"/>
        <v/>
      </c>
      <c r="AE159" s="20" t="str">
        <f t="shared" si="45"/>
        <v>Fill Rated Capacity (see column J),</v>
      </c>
      <c r="AF159" s="20" t="str">
        <f t="shared" si="46"/>
        <v/>
      </c>
      <c r="AG159" s="20" t="str">
        <f t="shared" si="47"/>
        <v>Fill reimbursement % for this LE (see column C)</v>
      </c>
      <c r="AH159" s="20" t="str">
        <f t="shared" si="48"/>
        <v>This route has no eligible riders (see columns L:O)</v>
      </c>
      <c r="AI159" s="20" t="str">
        <f t="shared" si="49"/>
        <v>Fill miles per day (see column D)</v>
      </c>
      <c r="AJ159" s="20" t="str">
        <f t="shared" si="54"/>
        <v>Fill number of operating days (see column F)</v>
      </c>
      <c r="AK159" s="20" t="str">
        <f t="shared" si="55"/>
        <v>Fill Non-Bus Miles with Y or N (See column E)</v>
      </c>
      <c r="AL159" s="98" t="s">
        <v>422</v>
      </c>
      <c r="AM159" s="20" t="str">
        <f t="shared" si="56"/>
        <v/>
      </c>
    </row>
    <row r="160" spans="1:39" x14ac:dyDescent="0.75">
      <c r="A160" s="1" t="s">
        <v>245</v>
      </c>
      <c r="B160" s="130"/>
      <c r="C160" s="33"/>
      <c r="D160" s="41"/>
      <c r="E160" s="48"/>
      <c r="F160" s="45"/>
      <c r="G160" s="32"/>
      <c r="H160" s="16" t="s">
        <v>50</v>
      </c>
      <c r="I160" s="126"/>
      <c r="J160" s="32"/>
      <c r="K160" s="16" t="str">
        <f t="shared" si="40"/>
        <v/>
      </c>
      <c r="L160" s="37"/>
      <c r="M160" s="37"/>
      <c r="N160" s="37"/>
      <c r="O160" s="37"/>
      <c r="P160" s="16" t="str">
        <f t="shared" si="50"/>
        <v/>
      </c>
      <c r="Q160" s="37"/>
      <c r="R160" s="37"/>
      <c r="S160" s="37"/>
      <c r="T160" s="37"/>
      <c r="U160" s="16">
        <f t="shared" si="41"/>
        <v>0</v>
      </c>
      <c r="V160" s="16" t="str">
        <f t="shared" si="42"/>
        <v/>
      </c>
      <c r="W160" s="16" t="str">
        <f>IF(E160="Y",PAR!$C$12,IF(J160="","",IF(J160&lt;11,PAR!$C$6,IF(J160&lt;50,PAR!$C$7,IF(J160&lt;60,PAR!$C$8,IF(J160&lt;70,PAR!$C$9,IF(J160&lt;80,PAR!$C$10,IF(J160&gt;79,PAR!$C$11,0))))))))</f>
        <v/>
      </c>
      <c r="X160" s="16" t="str">
        <f t="shared" si="43"/>
        <v/>
      </c>
      <c r="Y160" s="22" t="str">
        <f t="shared" si="44"/>
        <v/>
      </c>
      <c r="Z160" s="100" t="str">
        <f>IF(IFERROR(IF(E160="Y",(W160*(X160-PAR!$C$15)*Y160)*C160,IF(AA160&lt;&gt;"","See Comment",IFERROR(W160*X160*Y160*C160,"Fill all blue cells"))),"Fill all blue cells")&lt;0,0,(IFERROR(IF(E160="Y",(W160*(X160-PAR!$C$15)*Y160)*C160,IF(AA160&lt;&gt;"","See Comment",IFERROR(W160*X160*Y160*C160,"Fill all blue cells"))),"Fill all blue cells")))</f>
        <v>See Comment</v>
      </c>
      <c r="AA160"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0" s="116" t="str">
        <f t="shared" si="52"/>
        <v/>
      </c>
      <c r="AC160" s="20" t="str">
        <f>IF(AND(E160="Y",D160&lt;PAR!C161),"Non bus miles are less than the minumum of 10 (see column D)",IF(AND(E160="Y",F160&lt;&gt;""),"Non Bus Miles",""))</f>
        <v/>
      </c>
      <c r="AD160" s="20" t="str">
        <f t="shared" si="53"/>
        <v/>
      </c>
      <c r="AE160" s="20" t="str">
        <f t="shared" si="45"/>
        <v>Fill Rated Capacity (see column J),</v>
      </c>
      <c r="AF160" s="20" t="str">
        <f t="shared" si="46"/>
        <v/>
      </c>
      <c r="AG160" s="20" t="str">
        <f t="shared" si="47"/>
        <v>Fill reimbursement % for this LE (see column C)</v>
      </c>
      <c r="AH160" s="20" t="str">
        <f t="shared" si="48"/>
        <v>This route has no eligible riders (see columns L:O)</v>
      </c>
      <c r="AI160" s="20" t="str">
        <f t="shared" si="49"/>
        <v>Fill miles per day (see column D)</v>
      </c>
      <c r="AJ160" s="20" t="str">
        <f t="shared" si="54"/>
        <v>Fill number of operating days (see column F)</v>
      </c>
      <c r="AK160" s="20" t="str">
        <f t="shared" si="55"/>
        <v>Fill Non-Bus Miles with Y or N (See column E)</v>
      </c>
      <c r="AL160" s="98" t="s">
        <v>422</v>
      </c>
      <c r="AM160" s="20" t="str">
        <f t="shared" si="56"/>
        <v/>
      </c>
    </row>
    <row r="161" spans="1:39" x14ac:dyDescent="0.75">
      <c r="A161" s="1" t="s">
        <v>246</v>
      </c>
      <c r="B161" s="130"/>
      <c r="C161" s="36"/>
      <c r="D161" s="42"/>
      <c r="E161" s="47"/>
      <c r="F161" s="44"/>
      <c r="G161" s="35"/>
      <c r="H161" s="18" t="s">
        <v>50</v>
      </c>
      <c r="I161" s="125"/>
      <c r="J161" s="35"/>
      <c r="K161" s="18" t="str">
        <f t="shared" si="40"/>
        <v/>
      </c>
      <c r="L161" s="38"/>
      <c r="M161" s="38"/>
      <c r="N161" s="38"/>
      <c r="O161" s="38"/>
      <c r="P161" s="18" t="str">
        <f t="shared" si="50"/>
        <v/>
      </c>
      <c r="Q161" s="38"/>
      <c r="R161" s="38"/>
      <c r="S161" s="38"/>
      <c r="T161" s="38"/>
      <c r="U161" s="18">
        <f t="shared" si="41"/>
        <v>0</v>
      </c>
      <c r="V161" s="18" t="str">
        <f t="shared" si="42"/>
        <v/>
      </c>
      <c r="W161" s="18" t="str">
        <f>IF(E161="Y",PAR!$C$12,IF(J161="","",IF(J161&lt;11,PAR!$C$6,IF(J161&lt;50,PAR!$C$7,IF(J161&lt;60,PAR!$C$8,IF(J161&lt;70,PAR!$C$9,IF(J161&lt;80,PAR!$C$10,IF(J161&gt;79,PAR!$C$11,0))))))))</f>
        <v/>
      </c>
      <c r="X161" s="18" t="str">
        <f t="shared" si="43"/>
        <v/>
      </c>
      <c r="Y161" s="21" t="str">
        <f t="shared" si="44"/>
        <v/>
      </c>
      <c r="Z161" s="100" t="str">
        <f>IF(IFERROR(IF(E161="Y",(W161*(X161-PAR!$C$15)*Y161)*C161,IF(AA161&lt;&gt;"","See Comment",IFERROR(W161*X161*Y161*C161,"Fill all blue cells"))),"Fill all blue cells")&lt;0,0,(IFERROR(IF(E161="Y",(W161*(X161-PAR!$C$15)*Y161)*C161,IF(AA161&lt;&gt;"","See Comment",IFERROR(W161*X161*Y161*C161,"Fill all blue cells"))),"Fill all blue cells")))</f>
        <v>See Comment</v>
      </c>
      <c r="AA161"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1" s="116" t="str">
        <f t="shared" si="52"/>
        <v/>
      </c>
      <c r="AC161" s="20" t="str">
        <f>IF(AND(E161="Y",D161&lt;PAR!C162),"Non bus miles are less than the minumum of 10 (see column D)",IF(AND(E161="Y",F161&lt;&gt;""),"Non Bus Miles",""))</f>
        <v/>
      </c>
      <c r="AD161" s="20" t="str">
        <f t="shared" si="53"/>
        <v/>
      </c>
      <c r="AE161" s="20" t="str">
        <f t="shared" si="45"/>
        <v>Fill Rated Capacity (see column J),</v>
      </c>
      <c r="AF161" s="20" t="str">
        <f t="shared" si="46"/>
        <v/>
      </c>
      <c r="AG161" s="20" t="str">
        <f t="shared" si="47"/>
        <v>Fill reimbursement % for this LE (see column C)</v>
      </c>
      <c r="AH161" s="20" t="str">
        <f t="shared" si="48"/>
        <v>This route has no eligible riders (see columns L:O)</v>
      </c>
      <c r="AI161" s="20" t="str">
        <f t="shared" si="49"/>
        <v>Fill miles per day (see column D)</v>
      </c>
      <c r="AJ161" s="20" t="str">
        <f t="shared" si="54"/>
        <v>Fill number of operating days (see column F)</v>
      </c>
      <c r="AK161" s="20" t="str">
        <f t="shared" si="55"/>
        <v>Fill Non-Bus Miles with Y or N (See column E)</v>
      </c>
      <c r="AL161" s="98" t="s">
        <v>422</v>
      </c>
      <c r="AM161" s="20" t="str">
        <f t="shared" si="56"/>
        <v/>
      </c>
    </row>
    <row r="162" spans="1:39" x14ac:dyDescent="0.75">
      <c r="A162" s="1" t="s">
        <v>247</v>
      </c>
      <c r="B162" s="130"/>
      <c r="C162" s="33"/>
      <c r="D162" s="41"/>
      <c r="E162" s="48"/>
      <c r="F162" s="45"/>
      <c r="G162" s="32"/>
      <c r="H162" s="16" t="s">
        <v>50</v>
      </c>
      <c r="I162" s="126"/>
      <c r="J162" s="32"/>
      <c r="K162" s="16" t="str">
        <f t="shared" si="40"/>
        <v/>
      </c>
      <c r="L162" s="37"/>
      <c r="M162" s="37"/>
      <c r="N162" s="37"/>
      <c r="O162" s="37"/>
      <c r="P162" s="16" t="str">
        <f t="shared" si="50"/>
        <v/>
      </c>
      <c r="Q162" s="37"/>
      <c r="R162" s="37"/>
      <c r="S162" s="37"/>
      <c r="T162" s="37"/>
      <c r="U162" s="16">
        <f t="shared" si="41"/>
        <v>0</v>
      </c>
      <c r="V162" s="16" t="str">
        <f t="shared" si="42"/>
        <v/>
      </c>
      <c r="W162" s="16" t="str">
        <f>IF(E162="Y",PAR!$C$12,IF(J162="","",IF(J162&lt;11,PAR!$C$6,IF(J162&lt;50,PAR!$C$7,IF(J162&lt;60,PAR!$C$8,IF(J162&lt;70,PAR!$C$9,IF(J162&lt;80,PAR!$C$10,IF(J162&gt;79,PAR!$C$11,0))))))))</f>
        <v/>
      </c>
      <c r="X162" s="16" t="str">
        <f t="shared" si="43"/>
        <v/>
      </c>
      <c r="Y162" s="22" t="str">
        <f t="shared" si="44"/>
        <v/>
      </c>
      <c r="Z162" s="100" t="str">
        <f>IF(IFERROR(IF(E162="Y",(W162*(X162-PAR!$C$15)*Y162)*C162,IF(AA162&lt;&gt;"","See Comment",IFERROR(W162*X162*Y162*C162,"Fill all blue cells"))),"Fill all blue cells")&lt;0,0,(IFERROR(IF(E162="Y",(W162*(X162-PAR!$C$15)*Y162)*C162,IF(AA162&lt;&gt;"","See Comment",IFERROR(W162*X162*Y162*C162,"Fill all blue cells"))),"Fill all blue cells")))</f>
        <v>See Comment</v>
      </c>
      <c r="AA162"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2" s="116" t="str">
        <f t="shared" si="52"/>
        <v/>
      </c>
      <c r="AC162" s="20" t="str">
        <f>IF(AND(E162="Y",D162&lt;PAR!C163),"Non bus miles are less than the minumum of 10 (see column D)",IF(AND(E162="Y",F162&lt;&gt;""),"Non Bus Miles",""))</f>
        <v/>
      </c>
      <c r="AD162" s="20" t="str">
        <f t="shared" si="53"/>
        <v/>
      </c>
      <c r="AE162" s="20" t="str">
        <f t="shared" si="45"/>
        <v>Fill Rated Capacity (see column J),</v>
      </c>
      <c r="AF162" s="20" t="str">
        <f t="shared" si="46"/>
        <v/>
      </c>
      <c r="AG162" s="20" t="str">
        <f t="shared" si="47"/>
        <v>Fill reimbursement % for this LE (see column C)</v>
      </c>
      <c r="AH162" s="20" t="str">
        <f t="shared" si="48"/>
        <v>This route has no eligible riders (see columns L:O)</v>
      </c>
      <c r="AI162" s="20" t="str">
        <f t="shared" si="49"/>
        <v>Fill miles per day (see column D)</v>
      </c>
      <c r="AJ162" s="20" t="str">
        <f t="shared" si="54"/>
        <v>Fill number of operating days (see column F)</v>
      </c>
      <c r="AK162" s="20" t="str">
        <f t="shared" si="55"/>
        <v>Fill Non-Bus Miles with Y or N (See column E)</v>
      </c>
      <c r="AL162" s="98" t="s">
        <v>422</v>
      </c>
      <c r="AM162" s="20" t="str">
        <f t="shared" si="56"/>
        <v/>
      </c>
    </row>
    <row r="163" spans="1:39" x14ac:dyDescent="0.75">
      <c r="A163" s="1" t="s">
        <v>248</v>
      </c>
      <c r="B163" s="130"/>
      <c r="C163" s="36"/>
      <c r="D163" s="42"/>
      <c r="E163" s="47"/>
      <c r="F163" s="44"/>
      <c r="G163" s="35"/>
      <c r="H163" s="18" t="s">
        <v>50</v>
      </c>
      <c r="I163" s="125"/>
      <c r="J163" s="35"/>
      <c r="K163" s="18" t="str">
        <f t="shared" si="40"/>
        <v/>
      </c>
      <c r="L163" s="38"/>
      <c r="M163" s="38"/>
      <c r="N163" s="38"/>
      <c r="O163" s="38"/>
      <c r="P163" s="18" t="str">
        <f t="shared" si="50"/>
        <v/>
      </c>
      <c r="Q163" s="38"/>
      <c r="R163" s="38"/>
      <c r="S163" s="38"/>
      <c r="T163" s="38"/>
      <c r="U163" s="18">
        <f t="shared" si="41"/>
        <v>0</v>
      </c>
      <c r="V163" s="18" t="str">
        <f t="shared" si="42"/>
        <v/>
      </c>
      <c r="W163" s="18" t="str">
        <f>IF(E163="Y",PAR!$C$12,IF(J163="","",IF(J163&lt;11,PAR!$C$6,IF(J163&lt;50,PAR!$C$7,IF(J163&lt;60,PAR!$C$8,IF(J163&lt;70,PAR!$C$9,IF(J163&lt;80,PAR!$C$10,IF(J163&gt;79,PAR!$C$11,0))))))))</f>
        <v/>
      </c>
      <c r="X163" s="18" t="str">
        <f t="shared" si="43"/>
        <v/>
      </c>
      <c r="Y163" s="21" t="str">
        <f t="shared" si="44"/>
        <v/>
      </c>
      <c r="Z163" s="100" t="str">
        <f>IF(IFERROR(IF(E163="Y",(W163*(X163-PAR!$C$15)*Y163)*C163,IF(AA163&lt;&gt;"","See Comment",IFERROR(W163*X163*Y163*C163,"Fill all blue cells"))),"Fill all blue cells")&lt;0,0,(IFERROR(IF(E163="Y",(W163*(X163-PAR!$C$15)*Y163)*C163,IF(AA163&lt;&gt;"","See Comment",IFERROR(W163*X163*Y163*C163,"Fill all blue cells"))),"Fill all blue cells")))</f>
        <v>See Comment</v>
      </c>
      <c r="AA163"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3" s="116" t="str">
        <f t="shared" si="52"/>
        <v/>
      </c>
      <c r="AC163" s="20" t="str">
        <f>IF(AND(E163="Y",D163&lt;PAR!C164),"Non bus miles are less than the minumum of 10 (see column D)",IF(AND(E163="Y",F163&lt;&gt;""),"Non Bus Miles",""))</f>
        <v/>
      </c>
      <c r="AD163" s="20" t="str">
        <f t="shared" si="53"/>
        <v/>
      </c>
      <c r="AE163" s="20" t="str">
        <f t="shared" si="45"/>
        <v>Fill Rated Capacity (see column J),</v>
      </c>
      <c r="AF163" s="20" t="str">
        <f t="shared" si="46"/>
        <v/>
      </c>
      <c r="AG163" s="20" t="str">
        <f t="shared" si="47"/>
        <v>Fill reimbursement % for this LE (see column C)</v>
      </c>
      <c r="AH163" s="20" t="str">
        <f t="shared" si="48"/>
        <v>This route has no eligible riders (see columns L:O)</v>
      </c>
      <c r="AI163" s="20" t="str">
        <f t="shared" si="49"/>
        <v>Fill miles per day (see column D)</v>
      </c>
      <c r="AJ163" s="20" t="str">
        <f t="shared" si="54"/>
        <v>Fill number of operating days (see column F)</v>
      </c>
      <c r="AK163" s="20" t="str">
        <f t="shared" si="55"/>
        <v>Fill Non-Bus Miles with Y or N (See column E)</v>
      </c>
      <c r="AL163" s="98" t="s">
        <v>422</v>
      </c>
      <c r="AM163" s="20" t="str">
        <f t="shared" si="56"/>
        <v/>
      </c>
    </row>
    <row r="164" spans="1:39" x14ac:dyDescent="0.75">
      <c r="A164" s="1" t="s">
        <v>249</v>
      </c>
      <c r="B164" s="130"/>
      <c r="C164" s="33"/>
      <c r="D164" s="41"/>
      <c r="E164" s="48"/>
      <c r="F164" s="45"/>
      <c r="G164" s="32"/>
      <c r="H164" s="16" t="s">
        <v>50</v>
      </c>
      <c r="I164" s="126"/>
      <c r="J164" s="32"/>
      <c r="K164" s="16" t="str">
        <f t="shared" si="40"/>
        <v/>
      </c>
      <c r="L164" s="37"/>
      <c r="M164" s="37"/>
      <c r="N164" s="37"/>
      <c r="O164" s="37"/>
      <c r="P164" s="16" t="str">
        <f t="shared" si="50"/>
        <v/>
      </c>
      <c r="Q164" s="37"/>
      <c r="R164" s="37"/>
      <c r="S164" s="37"/>
      <c r="T164" s="37"/>
      <c r="U164" s="16">
        <f t="shared" si="41"/>
        <v>0</v>
      </c>
      <c r="V164" s="16" t="str">
        <f t="shared" si="42"/>
        <v/>
      </c>
      <c r="W164" s="16" t="str">
        <f>IF(E164="Y",PAR!$C$12,IF(J164="","",IF(J164&lt;11,PAR!$C$6,IF(J164&lt;50,PAR!$C$7,IF(J164&lt;60,PAR!$C$8,IF(J164&lt;70,PAR!$C$9,IF(J164&lt;80,PAR!$C$10,IF(J164&gt;79,PAR!$C$11,0))))))))</f>
        <v/>
      </c>
      <c r="X164" s="16" t="str">
        <f t="shared" si="43"/>
        <v/>
      </c>
      <c r="Y164" s="22" t="str">
        <f t="shared" si="44"/>
        <v/>
      </c>
      <c r="Z164" s="100" t="str">
        <f>IF(IFERROR(IF(E164="Y",(W164*(X164-PAR!$C$15)*Y164)*C164,IF(AA164&lt;&gt;"","See Comment",IFERROR(W164*X164*Y164*C164,"Fill all blue cells"))),"Fill all blue cells")&lt;0,0,(IFERROR(IF(E164="Y",(W164*(X164-PAR!$C$15)*Y164)*C164,IF(AA164&lt;&gt;"","See Comment",IFERROR(W164*X164*Y164*C164,"Fill all blue cells"))),"Fill all blue cells")))</f>
        <v>See Comment</v>
      </c>
      <c r="AA164"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4" s="116" t="str">
        <f t="shared" si="52"/>
        <v/>
      </c>
      <c r="AC164" s="20" t="str">
        <f>IF(AND(E164="Y",D164&lt;PAR!C165),"Non bus miles are less than the minumum of 10 (see column D)",IF(AND(E164="Y",F164&lt;&gt;""),"Non Bus Miles",""))</f>
        <v/>
      </c>
      <c r="AD164" s="20" t="str">
        <f t="shared" si="53"/>
        <v/>
      </c>
      <c r="AE164" s="20" t="str">
        <f t="shared" si="45"/>
        <v>Fill Rated Capacity (see column J),</v>
      </c>
      <c r="AF164" s="20" t="str">
        <f t="shared" si="46"/>
        <v/>
      </c>
      <c r="AG164" s="20" t="str">
        <f t="shared" si="47"/>
        <v>Fill reimbursement % for this LE (see column C)</v>
      </c>
      <c r="AH164" s="20" t="str">
        <f t="shared" si="48"/>
        <v>This route has no eligible riders (see columns L:O)</v>
      </c>
      <c r="AI164" s="20" t="str">
        <f t="shared" si="49"/>
        <v>Fill miles per day (see column D)</v>
      </c>
      <c r="AJ164" s="20" t="str">
        <f t="shared" si="54"/>
        <v>Fill number of operating days (see column F)</v>
      </c>
      <c r="AK164" s="20" t="str">
        <f t="shared" si="55"/>
        <v>Fill Non-Bus Miles with Y or N (See column E)</v>
      </c>
      <c r="AL164" s="98" t="s">
        <v>422</v>
      </c>
      <c r="AM164" s="20" t="str">
        <f t="shared" si="56"/>
        <v/>
      </c>
    </row>
    <row r="165" spans="1:39" x14ac:dyDescent="0.75">
      <c r="A165" s="1" t="s">
        <v>250</v>
      </c>
      <c r="B165" s="130"/>
      <c r="C165" s="36"/>
      <c r="D165" s="42"/>
      <c r="E165" s="47"/>
      <c r="F165" s="44"/>
      <c r="G165" s="35"/>
      <c r="H165" s="18" t="s">
        <v>50</v>
      </c>
      <c r="I165" s="125"/>
      <c r="J165" s="35"/>
      <c r="K165" s="18" t="str">
        <f t="shared" si="40"/>
        <v/>
      </c>
      <c r="L165" s="38"/>
      <c r="M165" s="38"/>
      <c r="N165" s="38"/>
      <c r="O165" s="38"/>
      <c r="P165" s="18" t="str">
        <f t="shared" si="50"/>
        <v/>
      </c>
      <c r="Q165" s="38"/>
      <c r="R165" s="38"/>
      <c r="S165" s="38"/>
      <c r="T165" s="38"/>
      <c r="U165" s="18">
        <f t="shared" si="41"/>
        <v>0</v>
      </c>
      <c r="V165" s="18" t="str">
        <f t="shared" si="42"/>
        <v/>
      </c>
      <c r="W165" s="18" t="str">
        <f>IF(E165="Y",PAR!$C$12,IF(J165="","",IF(J165&lt;11,PAR!$C$6,IF(J165&lt;50,PAR!$C$7,IF(J165&lt;60,PAR!$C$8,IF(J165&lt;70,PAR!$C$9,IF(J165&lt;80,PAR!$C$10,IF(J165&gt;79,PAR!$C$11,0))))))))</f>
        <v/>
      </c>
      <c r="X165" s="18" t="str">
        <f t="shared" si="43"/>
        <v/>
      </c>
      <c r="Y165" s="21" t="str">
        <f t="shared" si="44"/>
        <v/>
      </c>
      <c r="Z165" s="100" t="str">
        <f>IF(IFERROR(IF(E165="Y",(W165*(X165-PAR!$C$15)*Y165)*C165,IF(AA165&lt;&gt;"","See Comment",IFERROR(W165*X165*Y165*C165,"Fill all blue cells"))),"Fill all blue cells")&lt;0,0,(IFERROR(IF(E165="Y",(W165*(X165-PAR!$C$15)*Y165)*C165,IF(AA165&lt;&gt;"","See Comment",IFERROR(W165*X165*Y165*C165,"Fill all blue cells"))),"Fill all blue cells")))</f>
        <v>See Comment</v>
      </c>
      <c r="AA165"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5" s="116" t="str">
        <f t="shared" si="52"/>
        <v/>
      </c>
      <c r="AC165" s="20" t="str">
        <f>IF(AND(E165="Y",D165&lt;PAR!C166),"Non bus miles are less than the minumum of 10 (see column D)",IF(AND(E165="Y",F165&lt;&gt;""),"Non Bus Miles",""))</f>
        <v/>
      </c>
      <c r="AD165" s="20" t="str">
        <f t="shared" si="53"/>
        <v/>
      </c>
      <c r="AE165" s="20" t="str">
        <f t="shared" si="45"/>
        <v>Fill Rated Capacity (see column J),</v>
      </c>
      <c r="AF165" s="20" t="str">
        <f t="shared" si="46"/>
        <v/>
      </c>
      <c r="AG165" s="20" t="str">
        <f t="shared" si="47"/>
        <v>Fill reimbursement % for this LE (see column C)</v>
      </c>
      <c r="AH165" s="20" t="str">
        <f t="shared" si="48"/>
        <v>This route has no eligible riders (see columns L:O)</v>
      </c>
      <c r="AI165" s="20" t="str">
        <f t="shared" si="49"/>
        <v>Fill miles per day (see column D)</v>
      </c>
      <c r="AJ165" s="20" t="str">
        <f t="shared" si="54"/>
        <v>Fill number of operating days (see column F)</v>
      </c>
      <c r="AK165" s="20" t="str">
        <f t="shared" si="55"/>
        <v>Fill Non-Bus Miles with Y or N (See column E)</v>
      </c>
      <c r="AL165" s="98" t="s">
        <v>422</v>
      </c>
      <c r="AM165" s="20" t="str">
        <f t="shared" si="56"/>
        <v/>
      </c>
    </row>
    <row r="166" spans="1:39" x14ac:dyDescent="0.75">
      <c r="A166" s="1" t="s">
        <v>251</v>
      </c>
      <c r="B166" s="130"/>
      <c r="C166" s="33"/>
      <c r="D166" s="41"/>
      <c r="E166" s="48"/>
      <c r="F166" s="45"/>
      <c r="G166" s="32"/>
      <c r="H166" s="16" t="s">
        <v>50</v>
      </c>
      <c r="I166" s="126"/>
      <c r="J166" s="32"/>
      <c r="K166" s="16" t="str">
        <f t="shared" si="40"/>
        <v/>
      </c>
      <c r="L166" s="37"/>
      <c r="M166" s="37"/>
      <c r="N166" s="37"/>
      <c r="O166" s="37"/>
      <c r="P166" s="16" t="str">
        <f t="shared" si="50"/>
        <v/>
      </c>
      <c r="Q166" s="37"/>
      <c r="R166" s="37"/>
      <c r="S166" s="37"/>
      <c r="T166" s="37"/>
      <c r="U166" s="16">
        <f t="shared" si="41"/>
        <v>0</v>
      </c>
      <c r="V166" s="16" t="str">
        <f t="shared" si="42"/>
        <v/>
      </c>
      <c r="W166" s="16" t="str">
        <f>IF(E166="Y",PAR!$C$12,IF(J166="","",IF(J166&lt;11,PAR!$C$6,IF(J166&lt;50,PAR!$C$7,IF(J166&lt;60,PAR!$C$8,IF(J166&lt;70,PAR!$C$9,IF(J166&lt;80,PAR!$C$10,IF(J166&gt;79,PAR!$C$11,0))))))))</f>
        <v/>
      </c>
      <c r="X166" s="16" t="str">
        <f t="shared" si="43"/>
        <v/>
      </c>
      <c r="Y166" s="22" t="str">
        <f t="shared" si="44"/>
        <v/>
      </c>
      <c r="Z166" s="100" t="str">
        <f>IF(IFERROR(IF(E166="Y",(W166*(X166-PAR!$C$15)*Y166)*C166,IF(AA166&lt;&gt;"","See Comment",IFERROR(W166*X166*Y166*C166,"Fill all blue cells"))),"Fill all blue cells")&lt;0,0,(IFERROR(IF(E166="Y",(W166*(X166-PAR!$C$15)*Y166)*C166,IF(AA166&lt;&gt;"","See Comment",IFERROR(W166*X166*Y166*C166,"Fill all blue cells"))),"Fill all blue cells")))</f>
        <v>See Comment</v>
      </c>
      <c r="AA166"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6" s="116" t="str">
        <f t="shared" si="52"/>
        <v/>
      </c>
      <c r="AC166" s="20" t="str">
        <f>IF(AND(E166="Y",D166&lt;PAR!C167),"Non bus miles are less than the minumum of 10 (see column D)",IF(AND(E166="Y",F166&lt;&gt;""),"Non Bus Miles",""))</f>
        <v/>
      </c>
      <c r="AD166" s="20" t="str">
        <f t="shared" si="53"/>
        <v/>
      </c>
      <c r="AE166" s="20" t="str">
        <f t="shared" si="45"/>
        <v>Fill Rated Capacity (see column J),</v>
      </c>
      <c r="AF166" s="20" t="str">
        <f t="shared" si="46"/>
        <v/>
      </c>
      <c r="AG166" s="20" t="str">
        <f t="shared" si="47"/>
        <v>Fill reimbursement % for this LE (see column C)</v>
      </c>
      <c r="AH166" s="20" t="str">
        <f t="shared" si="48"/>
        <v>This route has no eligible riders (see columns L:O)</v>
      </c>
      <c r="AI166" s="20" t="str">
        <f t="shared" si="49"/>
        <v>Fill miles per day (see column D)</v>
      </c>
      <c r="AJ166" s="20" t="str">
        <f t="shared" si="54"/>
        <v>Fill number of operating days (see column F)</v>
      </c>
      <c r="AK166" s="20" t="str">
        <f t="shared" si="55"/>
        <v>Fill Non-Bus Miles with Y or N (See column E)</v>
      </c>
      <c r="AL166" s="98" t="s">
        <v>422</v>
      </c>
      <c r="AM166" s="20" t="str">
        <f t="shared" si="56"/>
        <v/>
      </c>
    </row>
    <row r="167" spans="1:39" x14ac:dyDescent="0.75">
      <c r="A167" s="1" t="s">
        <v>252</v>
      </c>
      <c r="B167" s="130"/>
      <c r="C167" s="36"/>
      <c r="D167" s="42"/>
      <c r="E167" s="47"/>
      <c r="F167" s="44"/>
      <c r="G167" s="35"/>
      <c r="H167" s="18" t="s">
        <v>50</v>
      </c>
      <c r="I167" s="125"/>
      <c r="J167" s="35"/>
      <c r="K167" s="18" t="str">
        <f t="shared" si="40"/>
        <v/>
      </c>
      <c r="L167" s="38"/>
      <c r="M167" s="38"/>
      <c r="N167" s="38"/>
      <c r="O167" s="38"/>
      <c r="P167" s="18" t="str">
        <f t="shared" si="50"/>
        <v/>
      </c>
      <c r="Q167" s="38"/>
      <c r="R167" s="38"/>
      <c r="S167" s="38"/>
      <c r="T167" s="38"/>
      <c r="U167" s="18">
        <f t="shared" si="41"/>
        <v>0</v>
      </c>
      <c r="V167" s="18" t="str">
        <f t="shared" si="42"/>
        <v/>
      </c>
      <c r="W167" s="18" t="str">
        <f>IF(E167="Y",PAR!$C$12,IF(J167="","",IF(J167&lt;11,PAR!$C$6,IF(J167&lt;50,PAR!$C$7,IF(J167&lt;60,PAR!$C$8,IF(J167&lt;70,PAR!$C$9,IF(J167&lt;80,PAR!$C$10,IF(J167&gt;79,PAR!$C$11,0))))))))</f>
        <v/>
      </c>
      <c r="X167" s="18" t="str">
        <f t="shared" si="43"/>
        <v/>
      </c>
      <c r="Y167" s="21" t="str">
        <f t="shared" si="44"/>
        <v/>
      </c>
      <c r="Z167" s="100" t="str">
        <f>IF(IFERROR(IF(E167="Y",(W167*(X167-PAR!$C$15)*Y167)*C167,IF(AA167&lt;&gt;"","See Comment",IFERROR(W167*X167*Y167*C167,"Fill all blue cells"))),"Fill all blue cells")&lt;0,0,(IFERROR(IF(E167="Y",(W167*(X167-PAR!$C$15)*Y167)*C167,IF(AA167&lt;&gt;"","See Comment",IFERROR(W167*X167*Y167*C167,"Fill all blue cells"))),"Fill all blue cells")))</f>
        <v>See Comment</v>
      </c>
      <c r="AA167"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7" s="116" t="str">
        <f t="shared" si="52"/>
        <v/>
      </c>
      <c r="AC167" s="20" t="str">
        <f>IF(AND(E167="Y",D167&lt;PAR!C168),"Non bus miles are less than the minumum of 10 (see column D)",IF(AND(E167="Y",F167&lt;&gt;""),"Non Bus Miles",""))</f>
        <v/>
      </c>
      <c r="AD167" s="20" t="str">
        <f t="shared" si="53"/>
        <v/>
      </c>
      <c r="AE167" s="20" t="str">
        <f t="shared" si="45"/>
        <v>Fill Rated Capacity (see column J),</v>
      </c>
      <c r="AF167" s="20" t="str">
        <f t="shared" si="46"/>
        <v/>
      </c>
      <c r="AG167" s="20" t="str">
        <f t="shared" si="47"/>
        <v>Fill reimbursement % for this LE (see column C)</v>
      </c>
      <c r="AH167" s="20" t="str">
        <f t="shared" si="48"/>
        <v>This route has no eligible riders (see columns L:O)</v>
      </c>
      <c r="AI167" s="20" t="str">
        <f t="shared" si="49"/>
        <v>Fill miles per day (see column D)</v>
      </c>
      <c r="AJ167" s="20" t="str">
        <f t="shared" si="54"/>
        <v>Fill number of operating days (see column F)</v>
      </c>
      <c r="AK167" s="20" t="str">
        <f t="shared" si="55"/>
        <v>Fill Non-Bus Miles with Y or N (See column E)</v>
      </c>
      <c r="AL167" s="98" t="s">
        <v>422</v>
      </c>
      <c r="AM167" s="20" t="str">
        <f t="shared" si="56"/>
        <v/>
      </c>
    </row>
    <row r="168" spans="1:39" x14ac:dyDescent="0.75">
      <c r="A168" s="1" t="s">
        <v>253</v>
      </c>
      <c r="B168" s="130"/>
      <c r="C168" s="33"/>
      <c r="D168" s="41"/>
      <c r="E168" s="48"/>
      <c r="F168" s="45"/>
      <c r="G168" s="32"/>
      <c r="H168" s="16" t="s">
        <v>50</v>
      </c>
      <c r="I168" s="126"/>
      <c r="J168" s="32"/>
      <c r="K168" s="16" t="str">
        <f t="shared" si="40"/>
        <v/>
      </c>
      <c r="L168" s="37"/>
      <c r="M168" s="37"/>
      <c r="N168" s="37"/>
      <c r="O168" s="37"/>
      <c r="P168" s="16" t="str">
        <f t="shared" si="50"/>
        <v/>
      </c>
      <c r="Q168" s="37"/>
      <c r="R168" s="37"/>
      <c r="S168" s="37"/>
      <c r="T168" s="37"/>
      <c r="U168" s="16">
        <f t="shared" si="41"/>
        <v>0</v>
      </c>
      <c r="V168" s="16" t="str">
        <f t="shared" si="42"/>
        <v/>
      </c>
      <c r="W168" s="16" t="str">
        <f>IF(E168="Y",PAR!$C$12,IF(J168="","",IF(J168&lt;11,PAR!$C$6,IF(J168&lt;50,PAR!$C$7,IF(J168&lt;60,PAR!$C$8,IF(J168&lt;70,PAR!$C$9,IF(J168&lt;80,PAR!$C$10,IF(J168&gt;79,PAR!$C$11,0))))))))</f>
        <v/>
      </c>
      <c r="X168" s="16" t="str">
        <f t="shared" si="43"/>
        <v/>
      </c>
      <c r="Y168" s="22" t="str">
        <f t="shared" si="44"/>
        <v/>
      </c>
      <c r="Z168" s="100" t="str">
        <f>IF(IFERROR(IF(E168="Y",(W168*(X168-PAR!$C$15)*Y168)*C168,IF(AA168&lt;&gt;"","See Comment",IFERROR(W168*X168*Y168*C168,"Fill all blue cells"))),"Fill all blue cells")&lt;0,0,(IFERROR(IF(E168="Y",(W168*(X168-PAR!$C$15)*Y168)*C168,IF(AA168&lt;&gt;"","See Comment",IFERROR(W168*X168*Y168*C168,"Fill all blue cells"))),"Fill all blue cells")))</f>
        <v>See Comment</v>
      </c>
      <c r="AA168"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8" s="116" t="str">
        <f t="shared" si="52"/>
        <v/>
      </c>
      <c r="AC168" s="20" t="str">
        <f>IF(AND(E168="Y",D168&lt;PAR!C169),"Non bus miles are less than the minumum of 10 (see column D)",IF(AND(E168="Y",F168&lt;&gt;""),"Non Bus Miles",""))</f>
        <v/>
      </c>
      <c r="AD168" s="20" t="str">
        <f t="shared" si="53"/>
        <v/>
      </c>
      <c r="AE168" s="20" t="str">
        <f t="shared" si="45"/>
        <v>Fill Rated Capacity (see column J),</v>
      </c>
      <c r="AF168" s="20" t="str">
        <f t="shared" si="46"/>
        <v/>
      </c>
      <c r="AG168" s="20" t="str">
        <f t="shared" si="47"/>
        <v>Fill reimbursement % for this LE (see column C)</v>
      </c>
      <c r="AH168" s="20" t="str">
        <f t="shared" si="48"/>
        <v>This route has no eligible riders (see columns L:O)</v>
      </c>
      <c r="AI168" s="20" t="str">
        <f t="shared" si="49"/>
        <v>Fill miles per day (see column D)</v>
      </c>
      <c r="AJ168" s="20" t="str">
        <f t="shared" si="54"/>
        <v>Fill number of operating days (see column F)</v>
      </c>
      <c r="AK168" s="20" t="str">
        <f t="shared" si="55"/>
        <v>Fill Non-Bus Miles with Y or N (See column E)</v>
      </c>
      <c r="AL168" s="98" t="s">
        <v>422</v>
      </c>
      <c r="AM168" s="20" t="str">
        <f t="shared" si="56"/>
        <v/>
      </c>
    </row>
    <row r="169" spans="1:39" x14ac:dyDescent="0.75">
      <c r="A169" s="1" t="s">
        <v>254</v>
      </c>
      <c r="B169" s="130"/>
      <c r="C169" s="36"/>
      <c r="D169" s="42"/>
      <c r="E169" s="47"/>
      <c r="F169" s="44"/>
      <c r="G169" s="35"/>
      <c r="H169" s="18" t="s">
        <v>50</v>
      </c>
      <c r="I169" s="125"/>
      <c r="J169" s="35"/>
      <c r="K169" s="18" t="str">
        <f t="shared" si="40"/>
        <v/>
      </c>
      <c r="L169" s="38"/>
      <c r="M169" s="38"/>
      <c r="N169" s="38"/>
      <c r="O169" s="38"/>
      <c r="P169" s="18" t="str">
        <f t="shared" si="50"/>
        <v/>
      </c>
      <c r="Q169" s="38"/>
      <c r="R169" s="38"/>
      <c r="S169" s="38"/>
      <c r="T169" s="38"/>
      <c r="U169" s="18">
        <f t="shared" si="41"/>
        <v>0</v>
      </c>
      <c r="V169" s="18" t="str">
        <f t="shared" si="42"/>
        <v/>
      </c>
      <c r="W169" s="18" t="str">
        <f>IF(E169="Y",PAR!$C$12,IF(J169="","",IF(J169&lt;11,PAR!$C$6,IF(J169&lt;50,PAR!$C$7,IF(J169&lt;60,PAR!$C$8,IF(J169&lt;70,PAR!$C$9,IF(J169&lt;80,PAR!$C$10,IF(J169&gt;79,PAR!$C$11,0))))))))</f>
        <v/>
      </c>
      <c r="X169" s="18" t="str">
        <f t="shared" si="43"/>
        <v/>
      </c>
      <c r="Y169" s="21" t="str">
        <f t="shared" si="44"/>
        <v/>
      </c>
      <c r="Z169" s="100" t="str">
        <f>IF(IFERROR(IF(E169="Y",(W169*(X169-PAR!$C$15)*Y169)*C169,IF(AA169&lt;&gt;"","See Comment",IFERROR(W169*X169*Y169*C169,"Fill all blue cells"))),"Fill all blue cells")&lt;0,0,(IFERROR(IF(E169="Y",(W169*(X169-PAR!$C$15)*Y169)*C169,IF(AA169&lt;&gt;"","See Comment",IFERROR(W169*X169*Y169*C169,"Fill all blue cells"))),"Fill all blue cells")))</f>
        <v>See Comment</v>
      </c>
      <c r="AA169"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9" s="116" t="str">
        <f t="shared" si="52"/>
        <v/>
      </c>
      <c r="AC169" s="20" t="str">
        <f>IF(AND(E169="Y",D169&lt;PAR!C170),"Non bus miles are less than the minumum of 10 (see column D)",IF(AND(E169="Y",F169&lt;&gt;""),"Non Bus Miles",""))</f>
        <v/>
      </c>
      <c r="AD169" s="20" t="str">
        <f t="shared" si="53"/>
        <v/>
      </c>
      <c r="AE169" s="20" t="str">
        <f t="shared" si="45"/>
        <v>Fill Rated Capacity (see column J),</v>
      </c>
      <c r="AF169" s="20" t="str">
        <f t="shared" si="46"/>
        <v/>
      </c>
      <c r="AG169" s="20" t="str">
        <f t="shared" si="47"/>
        <v>Fill reimbursement % for this LE (see column C)</v>
      </c>
      <c r="AH169" s="20" t="str">
        <f t="shared" si="48"/>
        <v>This route has no eligible riders (see columns L:O)</v>
      </c>
      <c r="AI169" s="20" t="str">
        <f t="shared" si="49"/>
        <v>Fill miles per day (see column D)</v>
      </c>
      <c r="AJ169" s="20" t="str">
        <f t="shared" si="54"/>
        <v>Fill number of operating days (see column F)</v>
      </c>
      <c r="AK169" s="20" t="str">
        <f t="shared" si="55"/>
        <v>Fill Non-Bus Miles with Y or N (See column E)</v>
      </c>
      <c r="AL169" s="98" t="s">
        <v>422</v>
      </c>
      <c r="AM169" s="20" t="str">
        <f t="shared" si="56"/>
        <v/>
      </c>
    </row>
    <row r="170" spans="1:39" x14ac:dyDescent="0.75">
      <c r="A170" s="1" t="s">
        <v>255</v>
      </c>
      <c r="B170" s="130"/>
      <c r="C170" s="33"/>
      <c r="D170" s="41"/>
      <c r="E170" s="48"/>
      <c r="F170" s="45"/>
      <c r="G170" s="32"/>
      <c r="H170" s="16" t="s">
        <v>50</v>
      </c>
      <c r="I170" s="126"/>
      <c r="J170" s="32"/>
      <c r="K170" s="16" t="str">
        <f t="shared" si="40"/>
        <v/>
      </c>
      <c r="L170" s="37"/>
      <c r="M170" s="37"/>
      <c r="N170" s="37"/>
      <c r="O170" s="37"/>
      <c r="P170" s="16" t="str">
        <f t="shared" si="50"/>
        <v/>
      </c>
      <c r="Q170" s="37"/>
      <c r="R170" s="37"/>
      <c r="S170" s="37"/>
      <c r="T170" s="37"/>
      <c r="U170" s="16">
        <f t="shared" si="41"/>
        <v>0</v>
      </c>
      <c r="V170" s="16" t="str">
        <f t="shared" si="42"/>
        <v/>
      </c>
      <c r="W170" s="16" t="str">
        <f>IF(E170="Y",PAR!$C$12,IF(J170="","",IF(J170&lt;11,PAR!$C$6,IF(J170&lt;50,PAR!$C$7,IF(J170&lt;60,PAR!$C$8,IF(J170&lt;70,PAR!$C$9,IF(J170&lt;80,PAR!$C$10,IF(J170&gt;79,PAR!$C$11,0))))))))</f>
        <v/>
      </c>
      <c r="X170" s="16" t="str">
        <f t="shared" si="43"/>
        <v/>
      </c>
      <c r="Y170" s="22" t="str">
        <f t="shared" si="44"/>
        <v/>
      </c>
      <c r="Z170" s="100" t="str">
        <f>IF(IFERROR(IF(E170="Y",(W170*(X170-PAR!$C$15)*Y170)*C170,IF(AA170&lt;&gt;"","See Comment",IFERROR(W170*X170*Y170*C170,"Fill all blue cells"))),"Fill all blue cells")&lt;0,0,(IFERROR(IF(E170="Y",(W170*(X170-PAR!$C$15)*Y170)*C170,IF(AA170&lt;&gt;"","See Comment",IFERROR(W170*X170*Y170*C170,"Fill all blue cells"))),"Fill all blue cells")))</f>
        <v>See Comment</v>
      </c>
      <c r="AA170"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0" s="116" t="str">
        <f t="shared" si="52"/>
        <v/>
      </c>
      <c r="AC170" s="20" t="str">
        <f>IF(AND(E170="Y",D170&lt;PAR!C171),"Non bus miles are less than the minumum of 10 (see column D)",IF(AND(E170="Y",F170&lt;&gt;""),"Non Bus Miles",""))</f>
        <v/>
      </c>
      <c r="AD170" s="20" t="str">
        <f t="shared" si="53"/>
        <v/>
      </c>
      <c r="AE170" s="20" t="str">
        <f t="shared" si="45"/>
        <v>Fill Rated Capacity (see column J),</v>
      </c>
      <c r="AF170" s="20" t="str">
        <f t="shared" si="46"/>
        <v/>
      </c>
      <c r="AG170" s="20" t="str">
        <f t="shared" si="47"/>
        <v>Fill reimbursement % for this LE (see column C)</v>
      </c>
      <c r="AH170" s="20" t="str">
        <f t="shared" si="48"/>
        <v>This route has no eligible riders (see columns L:O)</v>
      </c>
      <c r="AI170" s="20" t="str">
        <f t="shared" si="49"/>
        <v>Fill miles per day (see column D)</v>
      </c>
      <c r="AJ170" s="20" t="str">
        <f t="shared" si="54"/>
        <v>Fill number of operating days (see column F)</v>
      </c>
      <c r="AK170" s="20" t="str">
        <f t="shared" si="55"/>
        <v>Fill Non-Bus Miles with Y or N (See column E)</v>
      </c>
      <c r="AL170" s="98" t="s">
        <v>422</v>
      </c>
      <c r="AM170" s="20" t="str">
        <f t="shared" si="56"/>
        <v/>
      </c>
    </row>
    <row r="171" spans="1:39" x14ac:dyDescent="0.75">
      <c r="A171" s="1" t="s">
        <v>256</v>
      </c>
      <c r="B171" s="130"/>
      <c r="C171" s="36"/>
      <c r="D171" s="42"/>
      <c r="E171" s="47"/>
      <c r="F171" s="44"/>
      <c r="G171" s="35"/>
      <c r="H171" s="18" t="s">
        <v>50</v>
      </c>
      <c r="I171" s="125"/>
      <c r="J171" s="35"/>
      <c r="K171" s="18" t="str">
        <f t="shared" si="40"/>
        <v/>
      </c>
      <c r="L171" s="38"/>
      <c r="M171" s="38"/>
      <c r="N171" s="38"/>
      <c r="O171" s="38"/>
      <c r="P171" s="18" t="str">
        <f t="shared" si="50"/>
        <v/>
      </c>
      <c r="Q171" s="38"/>
      <c r="R171" s="38"/>
      <c r="S171" s="38"/>
      <c r="T171" s="38"/>
      <c r="U171" s="18">
        <f t="shared" si="41"/>
        <v>0</v>
      </c>
      <c r="V171" s="18" t="str">
        <f t="shared" si="42"/>
        <v/>
      </c>
      <c r="W171" s="18" t="str">
        <f>IF(E171="Y",PAR!$C$12,IF(J171="","",IF(J171&lt;11,PAR!$C$6,IF(J171&lt;50,PAR!$C$7,IF(J171&lt;60,PAR!$C$8,IF(J171&lt;70,PAR!$C$9,IF(J171&lt;80,PAR!$C$10,IF(J171&gt;79,PAR!$C$11,0))))))))</f>
        <v/>
      </c>
      <c r="X171" s="18" t="str">
        <f t="shared" si="43"/>
        <v/>
      </c>
      <c r="Y171" s="21" t="str">
        <f t="shared" si="44"/>
        <v/>
      </c>
      <c r="Z171" s="100" t="str">
        <f>IF(IFERROR(IF(E171="Y",(W171*(X171-PAR!$C$15)*Y171)*C171,IF(AA171&lt;&gt;"","See Comment",IFERROR(W171*X171*Y171*C171,"Fill all blue cells"))),"Fill all blue cells")&lt;0,0,(IFERROR(IF(E171="Y",(W171*(X171-PAR!$C$15)*Y171)*C171,IF(AA171&lt;&gt;"","See Comment",IFERROR(W171*X171*Y171*C171,"Fill all blue cells"))),"Fill all blue cells")))</f>
        <v>See Comment</v>
      </c>
      <c r="AA171"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1" s="116" t="str">
        <f t="shared" si="52"/>
        <v/>
      </c>
      <c r="AC171" s="20" t="str">
        <f>IF(AND(E171="Y",D171&lt;PAR!C172),"Non bus miles are less than the minumum of 10 (see column D)",IF(AND(E171="Y",F171&lt;&gt;""),"Non Bus Miles",""))</f>
        <v/>
      </c>
      <c r="AD171" s="20" t="str">
        <f t="shared" si="53"/>
        <v/>
      </c>
      <c r="AE171" s="20" t="str">
        <f t="shared" si="45"/>
        <v>Fill Rated Capacity (see column J),</v>
      </c>
      <c r="AF171" s="20" t="str">
        <f t="shared" si="46"/>
        <v/>
      </c>
      <c r="AG171" s="20" t="str">
        <f t="shared" si="47"/>
        <v>Fill reimbursement % for this LE (see column C)</v>
      </c>
      <c r="AH171" s="20" t="str">
        <f t="shared" si="48"/>
        <v>This route has no eligible riders (see columns L:O)</v>
      </c>
      <c r="AI171" s="20" t="str">
        <f t="shared" si="49"/>
        <v>Fill miles per day (see column D)</v>
      </c>
      <c r="AJ171" s="20" t="str">
        <f t="shared" si="54"/>
        <v>Fill number of operating days (see column F)</v>
      </c>
      <c r="AK171" s="20" t="str">
        <f t="shared" si="55"/>
        <v>Fill Non-Bus Miles with Y or N (See column E)</v>
      </c>
      <c r="AL171" s="98" t="s">
        <v>422</v>
      </c>
      <c r="AM171" s="20" t="str">
        <f t="shared" si="56"/>
        <v/>
      </c>
    </row>
    <row r="172" spans="1:39" x14ac:dyDescent="0.75">
      <c r="A172" s="1" t="s">
        <v>257</v>
      </c>
      <c r="B172" s="130"/>
      <c r="C172" s="33"/>
      <c r="D172" s="41"/>
      <c r="E172" s="48"/>
      <c r="F172" s="45"/>
      <c r="G172" s="32"/>
      <c r="H172" s="16" t="s">
        <v>50</v>
      </c>
      <c r="I172" s="126"/>
      <c r="J172" s="32"/>
      <c r="K172" s="16" t="str">
        <f t="shared" si="40"/>
        <v/>
      </c>
      <c r="L172" s="37"/>
      <c r="M172" s="37"/>
      <c r="N172" s="37"/>
      <c r="O172" s="37"/>
      <c r="P172" s="16" t="str">
        <f t="shared" si="50"/>
        <v/>
      </c>
      <c r="Q172" s="37"/>
      <c r="R172" s="37"/>
      <c r="S172" s="37"/>
      <c r="T172" s="37"/>
      <c r="U172" s="16">
        <f t="shared" si="41"/>
        <v>0</v>
      </c>
      <c r="V172" s="16" t="str">
        <f t="shared" si="42"/>
        <v/>
      </c>
      <c r="W172" s="16" t="str">
        <f>IF(E172="Y",PAR!$C$12,IF(J172="","",IF(J172&lt;11,PAR!$C$6,IF(J172&lt;50,PAR!$C$7,IF(J172&lt;60,PAR!$C$8,IF(J172&lt;70,PAR!$C$9,IF(J172&lt;80,PAR!$C$10,IF(J172&gt;79,PAR!$C$11,0))))))))</f>
        <v/>
      </c>
      <c r="X172" s="16" t="str">
        <f t="shared" si="43"/>
        <v/>
      </c>
      <c r="Y172" s="22" t="str">
        <f t="shared" si="44"/>
        <v/>
      </c>
      <c r="Z172" s="100" t="str">
        <f>IF(IFERROR(IF(E172="Y",(W172*(X172-PAR!$C$15)*Y172)*C172,IF(AA172&lt;&gt;"","See Comment",IFERROR(W172*X172*Y172*C172,"Fill all blue cells"))),"Fill all blue cells")&lt;0,0,(IFERROR(IF(E172="Y",(W172*(X172-PAR!$C$15)*Y172)*C172,IF(AA172&lt;&gt;"","See Comment",IFERROR(W172*X172*Y172*C172,"Fill all blue cells"))),"Fill all blue cells")))</f>
        <v>See Comment</v>
      </c>
      <c r="AA172"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2" s="116" t="str">
        <f t="shared" si="52"/>
        <v/>
      </c>
      <c r="AC172" s="20" t="str">
        <f>IF(AND(E172="Y",D172&lt;PAR!C173),"Non bus miles are less than the minumum of 10 (see column D)",IF(AND(E172="Y",F172&lt;&gt;""),"Non Bus Miles",""))</f>
        <v/>
      </c>
      <c r="AD172" s="20" t="str">
        <f t="shared" si="53"/>
        <v/>
      </c>
      <c r="AE172" s="20" t="str">
        <f t="shared" si="45"/>
        <v>Fill Rated Capacity (see column J),</v>
      </c>
      <c r="AF172" s="20" t="str">
        <f t="shared" si="46"/>
        <v/>
      </c>
      <c r="AG172" s="20" t="str">
        <f t="shared" si="47"/>
        <v>Fill reimbursement % for this LE (see column C)</v>
      </c>
      <c r="AH172" s="20" t="str">
        <f t="shared" si="48"/>
        <v>This route has no eligible riders (see columns L:O)</v>
      </c>
      <c r="AI172" s="20" t="str">
        <f t="shared" si="49"/>
        <v>Fill miles per day (see column D)</v>
      </c>
      <c r="AJ172" s="20" t="str">
        <f t="shared" si="54"/>
        <v>Fill number of operating days (see column F)</v>
      </c>
      <c r="AK172" s="20" t="str">
        <f t="shared" si="55"/>
        <v>Fill Non-Bus Miles with Y or N (See column E)</v>
      </c>
      <c r="AL172" s="98" t="s">
        <v>422</v>
      </c>
      <c r="AM172" s="20" t="str">
        <f t="shared" si="56"/>
        <v/>
      </c>
    </row>
    <row r="173" spans="1:39" x14ac:dyDescent="0.75">
      <c r="A173" s="1" t="s">
        <v>258</v>
      </c>
      <c r="B173" s="130"/>
      <c r="C173" s="36"/>
      <c r="D173" s="42"/>
      <c r="E173" s="47"/>
      <c r="F173" s="44"/>
      <c r="G173" s="35"/>
      <c r="H173" s="18" t="s">
        <v>50</v>
      </c>
      <c r="I173" s="125"/>
      <c r="J173" s="35"/>
      <c r="K173" s="18" t="str">
        <f t="shared" si="40"/>
        <v/>
      </c>
      <c r="L173" s="38"/>
      <c r="M173" s="38"/>
      <c r="N173" s="38"/>
      <c r="O173" s="38"/>
      <c r="P173" s="18" t="str">
        <f t="shared" si="50"/>
        <v/>
      </c>
      <c r="Q173" s="38"/>
      <c r="R173" s="38"/>
      <c r="S173" s="38"/>
      <c r="T173" s="38"/>
      <c r="U173" s="18">
        <f t="shared" si="41"/>
        <v>0</v>
      </c>
      <c r="V173" s="18" t="str">
        <f t="shared" si="42"/>
        <v/>
      </c>
      <c r="W173" s="18" t="str">
        <f>IF(E173="Y",PAR!$C$12,IF(J173="","",IF(J173&lt;11,PAR!$C$6,IF(J173&lt;50,PAR!$C$7,IF(J173&lt;60,PAR!$C$8,IF(J173&lt;70,PAR!$C$9,IF(J173&lt;80,PAR!$C$10,IF(J173&gt;79,PAR!$C$11,0))))))))</f>
        <v/>
      </c>
      <c r="X173" s="18" t="str">
        <f t="shared" si="43"/>
        <v/>
      </c>
      <c r="Y173" s="21" t="str">
        <f t="shared" si="44"/>
        <v/>
      </c>
      <c r="Z173" s="100" t="str">
        <f>IF(IFERROR(IF(E173="Y",(W173*(X173-PAR!$C$15)*Y173)*C173,IF(AA173&lt;&gt;"","See Comment",IFERROR(W173*X173*Y173*C173,"Fill all blue cells"))),"Fill all blue cells")&lt;0,0,(IFERROR(IF(E173="Y",(W173*(X173-PAR!$C$15)*Y173)*C173,IF(AA173&lt;&gt;"","See Comment",IFERROR(W173*X173*Y173*C173,"Fill all blue cells"))),"Fill all blue cells")))</f>
        <v>See Comment</v>
      </c>
      <c r="AA173"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3" s="116" t="str">
        <f t="shared" si="52"/>
        <v/>
      </c>
      <c r="AC173" s="20" t="str">
        <f>IF(AND(E173="Y",D173&lt;PAR!C174),"Non bus miles are less than the minumum of 10 (see column D)",IF(AND(E173="Y",F173&lt;&gt;""),"Non Bus Miles",""))</f>
        <v/>
      </c>
      <c r="AD173" s="20" t="str">
        <f t="shared" si="53"/>
        <v/>
      </c>
      <c r="AE173" s="20" t="str">
        <f t="shared" si="45"/>
        <v>Fill Rated Capacity (see column J),</v>
      </c>
      <c r="AF173" s="20" t="str">
        <f t="shared" si="46"/>
        <v/>
      </c>
      <c r="AG173" s="20" t="str">
        <f t="shared" si="47"/>
        <v>Fill reimbursement % for this LE (see column C)</v>
      </c>
      <c r="AH173" s="20" t="str">
        <f t="shared" si="48"/>
        <v>This route has no eligible riders (see columns L:O)</v>
      </c>
      <c r="AI173" s="20" t="str">
        <f t="shared" si="49"/>
        <v>Fill miles per day (see column D)</v>
      </c>
      <c r="AJ173" s="20" t="str">
        <f t="shared" si="54"/>
        <v>Fill number of operating days (see column F)</v>
      </c>
      <c r="AK173" s="20" t="str">
        <f t="shared" si="55"/>
        <v>Fill Non-Bus Miles with Y or N (See column E)</v>
      </c>
      <c r="AL173" s="98" t="s">
        <v>422</v>
      </c>
      <c r="AM173" s="20" t="str">
        <f t="shared" si="56"/>
        <v/>
      </c>
    </row>
    <row r="174" spans="1:39" x14ac:dyDescent="0.75">
      <c r="A174" s="1" t="s">
        <v>259</v>
      </c>
      <c r="B174" s="130"/>
      <c r="C174" s="33"/>
      <c r="D174" s="41"/>
      <c r="E174" s="48"/>
      <c r="F174" s="45"/>
      <c r="G174" s="32"/>
      <c r="H174" s="16" t="s">
        <v>50</v>
      </c>
      <c r="I174" s="126"/>
      <c r="J174" s="32"/>
      <c r="K174" s="16" t="str">
        <f t="shared" si="40"/>
        <v/>
      </c>
      <c r="L174" s="37"/>
      <c r="M174" s="37"/>
      <c r="N174" s="37"/>
      <c r="O174" s="37"/>
      <c r="P174" s="16" t="str">
        <f t="shared" si="50"/>
        <v/>
      </c>
      <c r="Q174" s="37"/>
      <c r="R174" s="37"/>
      <c r="S174" s="37"/>
      <c r="T174" s="37"/>
      <c r="U174" s="16">
        <f t="shared" si="41"/>
        <v>0</v>
      </c>
      <c r="V174" s="16" t="str">
        <f t="shared" si="42"/>
        <v/>
      </c>
      <c r="W174" s="16" t="str">
        <f>IF(E174="Y",PAR!$C$12,IF(J174="","",IF(J174&lt;11,PAR!$C$6,IF(J174&lt;50,PAR!$C$7,IF(J174&lt;60,PAR!$C$8,IF(J174&lt;70,PAR!$C$9,IF(J174&lt;80,PAR!$C$10,IF(J174&gt;79,PAR!$C$11,0))))))))</f>
        <v/>
      </c>
      <c r="X174" s="16" t="str">
        <f t="shared" si="43"/>
        <v/>
      </c>
      <c r="Y174" s="22" t="str">
        <f t="shared" si="44"/>
        <v/>
      </c>
      <c r="Z174" s="100" t="str">
        <f>IF(IFERROR(IF(E174="Y",(W174*(X174-PAR!$C$15)*Y174)*C174,IF(AA174&lt;&gt;"","See Comment",IFERROR(W174*X174*Y174*C174,"Fill all blue cells"))),"Fill all blue cells")&lt;0,0,(IFERROR(IF(E174="Y",(W174*(X174-PAR!$C$15)*Y174)*C174,IF(AA174&lt;&gt;"","See Comment",IFERROR(W174*X174*Y174*C174,"Fill all blue cells"))),"Fill all blue cells")))</f>
        <v>See Comment</v>
      </c>
      <c r="AA174"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4" s="116" t="str">
        <f t="shared" si="52"/>
        <v/>
      </c>
      <c r="AC174" s="20" t="str">
        <f>IF(AND(E174="Y",D174&lt;PAR!C175),"Non bus miles are less than the minumum of 10 (see column D)",IF(AND(E174="Y",F174&lt;&gt;""),"Non Bus Miles",""))</f>
        <v/>
      </c>
      <c r="AD174" s="20" t="str">
        <f t="shared" si="53"/>
        <v/>
      </c>
      <c r="AE174" s="20" t="str">
        <f t="shared" si="45"/>
        <v>Fill Rated Capacity (see column J),</v>
      </c>
      <c r="AF174" s="20" t="str">
        <f t="shared" si="46"/>
        <v/>
      </c>
      <c r="AG174" s="20" t="str">
        <f t="shared" si="47"/>
        <v>Fill reimbursement % for this LE (see column C)</v>
      </c>
      <c r="AH174" s="20" t="str">
        <f t="shared" si="48"/>
        <v>This route has no eligible riders (see columns L:O)</v>
      </c>
      <c r="AI174" s="20" t="str">
        <f t="shared" si="49"/>
        <v>Fill miles per day (see column D)</v>
      </c>
      <c r="AJ174" s="20" t="str">
        <f t="shared" si="54"/>
        <v>Fill number of operating days (see column F)</v>
      </c>
      <c r="AK174" s="20" t="str">
        <f t="shared" si="55"/>
        <v>Fill Non-Bus Miles with Y or N (See column E)</v>
      </c>
      <c r="AL174" s="98" t="s">
        <v>422</v>
      </c>
      <c r="AM174" s="20" t="str">
        <f t="shared" si="56"/>
        <v/>
      </c>
    </row>
    <row r="175" spans="1:39" x14ac:dyDescent="0.75">
      <c r="A175" s="1" t="s">
        <v>260</v>
      </c>
      <c r="B175" s="130"/>
      <c r="C175" s="36"/>
      <c r="D175" s="42"/>
      <c r="E175" s="47"/>
      <c r="F175" s="44"/>
      <c r="G175" s="35"/>
      <c r="H175" s="18" t="s">
        <v>50</v>
      </c>
      <c r="I175" s="125"/>
      <c r="J175" s="35"/>
      <c r="K175" s="18" t="str">
        <f t="shared" si="40"/>
        <v/>
      </c>
      <c r="L175" s="38"/>
      <c r="M175" s="38"/>
      <c r="N175" s="38"/>
      <c r="O175" s="38"/>
      <c r="P175" s="18" t="str">
        <f t="shared" si="50"/>
        <v/>
      </c>
      <c r="Q175" s="38"/>
      <c r="R175" s="38"/>
      <c r="S175" s="38"/>
      <c r="T175" s="38"/>
      <c r="U175" s="18">
        <f t="shared" si="41"/>
        <v>0</v>
      </c>
      <c r="V175" s="18" t="str">
        <f t="shared" si="42"/>
        <v/>
      </c>
      <c r="W175" s="18" t="str">
        <f>IF(E175="Y",PAR!$C$12,IF(J175="","",IF(J175&lt;11,PAR!$C$6,IF(J175&lt;50,PAR!$C$7,IF(J175&lt;60,PAR!$C$8,IF(J175&lt;70,PAR!$C$9,IF(J175&lt;80,PAR!$C$10,IF(J175&gt;79,PAR!$C$11,0))))))))</f>
        <v/>
      </c>
      <c r="X175" s="18" t="str">
        <f t="shared" si="43"/>
        <v/>
      </c>
      <c r="Y175" s="21" t="str">
        <f t="shared" si="44"/>
        <v/>
      </c>
      <c r="Z175" s="100" t="str">
        <f>IF(IFERROR(IF(E175="Y",(W175*(X175-PAR!$C$15)*Y175)*C175,IF(AA175&lt;&gt;"","See Comment",IFERROR(W175*X175*Y175*C175,"Fill all blue cells"))),"Fill all blue cells")&lt;0,0,(IFERROR(IF(E175="Y",(W175*(X175-PAR!$C$15)*Y175)*C175,IF(AA175&lt;&gt;"","See Comment",IFERROR(W175*X175*Y175*C175,"Fill all blue cells"))),"Fill all blue cells")))</f>
        <v>See Comment</v>
      </c>
      <c r="AA175"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5" s="116" t="str">
        <f t="shared" si="52"/>
        <v/>
      </c>
      <c r="AC175" s="20" t="str">
        <f>IF(AND(E175="Y",D175&lt;PAR!C176),"Non bus miles are less than the minumum of 10 (see column D)",IF(AND(E175="Y",F175&lt;&gt;""),"Non Bus Miles",""))</f>
        <v/>
      </c>
      <c r="AD175" s="20" t="str">
        <f t="shared" si="53"/>
        <v/>
      </c>
      <c r="AE175" s="20" t="str">
        <f t="shared" si="45"/>
        <v>Fill Rated Capacity (see column J),</v>
      </c>
      <c r="AF175" s="20" t="str">
        <f t="shared" si="46"/>
        <v/>
      </c>
      <c r="AG175" s="20" t="str">
        <f t="shared" si="47"/>
        <v>Fill reimbursement % for this LE (see column C)</v>
      </c>
      <c r="AH175" s="20" t="str">
        <f t="shared" si="48"/>
        <v>This route has no eligible riders (see columns L:O)</v>
      </c>
      <c r="AI175" s="20" t="str">
        <f t="shared" si="49"/>
        <v>Fill miles per day (see column D)</v>
      </c>
      <c r="AJ175" s="20" t="str">
        <f t="shared" si="54"/>
        <v>Fill number of operating days (see column F)</v>
      </c>
      <c r="AK175" s="20" t="str">
        <f t="shared" si="55"/>
        <v>Fill Non-Bus Miles with Y or N (See column E)</v>
      </c>
      <c r="AL175" s="98" t="s">
        <v>422</v>
      </c>
      <c r="AM175" s="20" t="str">
        <f t="shared" si="56"/>
        <v/>
      </c>
    </row>
    <row r="176" spans="1:39" x14ac:dyDescent="0.75">
      <c r="A176" s="1" t="s">
        <v>261</v>
      </c>
      <c r="B176" s="130"/>
      <c r="C176" s="33"/>
      <c r="D176" s="41"/>
      <c r="E176" s="48"/>
      <c r="F176" s="45"/>
      <c r="G176" s="32"/>
      <c r="H176" s="16" t="s">
        <v>50</v>
      </c>
      <c r="I176" s="126"/>
      <c r="J176" s="32"/>
      <c r="K176" s="16" t="str">
        <f t="shared" si="40"/>
        <v/>
      </c>
      <c r="L176" s="37"/>
      <c r="M176" s="37"/>
      <c r="N176" s="37"/>
      <c r="O176" s="37"/>
      <c r="P176" s="16" t="str">
        <f t="shared" si="50"/>
        <v/>
      </c>
      <c r="Q176" s="37"/>
      <c r="R176" s="37"/>
      <c r="S176" s="37"/>
      <c r="T176" s="37"/>
      <c r="U176" s="16">
        <f t="shared" si="41"/>
        <v>0</v>
      </c>
      <c r="V176" s="16" t="str">
        <f t="shared" si="42"/>
        <v/>
      </c>
      <c r="W176" s="16" t="str">
        <f>IF(E176="Y",PAR!$C$12,IF(J176="","",IF(J176&lt;11,PAR!$C$6,IF(J176&lt;50,PAR!$C$7,IF(J176&lt;60,PAR!$C$8,IF(J176&lt;70,PAR!$C$9,IF(J176&lt;80,PAR!$C$10,IF(J176&gt;79,PAR!$C$11,0))))))))</f>
        <v/>
      </c>
      <c r="X176" s="16" t="str">
        <f t="shared" si="43"/>
        <v/>
      </c>
      <c r="Y176" s="22" t="str">
        <f t="shared" si="44"/>
        <v/>
      </c>
      <c r="Z176" s="100" t="str">
        <f>IF(IFERROR(IF(E176="Y",(W176*(X176-PAR!$C$15)*Y176)*C176,IF(AA176&lt;&gt;"","See Comment",IFERROR(W176*X176*Y176*C176,"Fill all blue cells"))),"Fill all blue cells")&lt;0,0,(IFERROR(IF(E176="Y",(W176*(X176-PAR!$C$15)*Y176)*C176,IF(AA176&lt;&gt;"","See Comment",IFERROR(W176*X176*Y176*C176,"Fill all blue cells"))),"Fill all blue cells")))</f>
        <v>See Comment</v>
      </c>
      <c r="AA176"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6" s="116" t="str">
        <f t="shared" si="52"/>
        <v/>
      </c>
      <c r="AC176" s="20" t="str">
        <f>IF(AND(E176="Y",D176&lt;PAR!C177),"Non bus miles are less than the minumum of 10 (see column D)",IF(AND(E176="Y",F176&lt;&gt;""),"Non Bus Miles",""))</f>
        <v/>
      </c>
      <c r="AD176" s="20" t="str">
        <f t="shared" si="53"/>
        <v/>
      </c>
      <c r="AE176" s="20" t="str">
        <f t="shared" si="45"/>
        <v>Fill Rated Capacity (see column J),</v>
      </c>
      <c r="AF176" s="20" t="str">
        <f t="shared" si="46"/>
        <v/>
      </c>
      <c r="AG176" s="20" t="str">
        <f t="shared" si="47"/>
        <v>Fill reimbursement % for this LE (see column C)</v>
      </c>
      <c r="AH176" s="20" t="str">
        <f t="shared" si="48"/>
        <v>This route has no eligible riders (see columns L:O)</v>
      </c>
      <c r="AI176" s="20" t="str">
        <f t="shared" si="49"/>
        <v>Fill miles per day (see column D)</v>
      </c>
      <c r="AJ176" s="20" t="str">
        <f t="shared" si="54"/>
        <v>Fill number of operating days (see column F)</v>
      </c>
      <c r="AK176" s="20" t="str">
        <f t="shared" si="55"/>
        <v>Fill Non-Bus Miles with Y or N (See column E)</v>
      </c>
      <c r="AL176" s="98" t="s">
        <v>422</v>
      </c>
      <c r="AM176" s="20" t="str">
        <f t="shared" si="56"/>
        <v/>
      </c>
    </row>
    <row r="177" spans="1:39" x14ac:dyDescent="0.75">
      <c r="A177" s="1" t="s">
        <v>262</v>
      </c>
      <c r="B177" s="130"/>
      <c r="C177" s="36"/>
      <c r="D177" s="42"/>
      <c r="E177" s="47"/>
      <c r="F177" s="44"/>
      <c r="G177" s="35"/>
      <c r="H177" s="18" t="s">
        <v>50</v>
      </c>
      <c r="I177" s="125"/>
      <c r="J177" s="35"/>
      <c r="K177" s="18" t="str">
        <f t="shared" si="40"/>
        <v/>
      </c>
      <c r="L177" s="38"/>
      <c r="M177" s="38"/>
      <c r="N177" s="38"/>
      <c r="O177" s="38"/>
      <c r="P177" s="18" t="str">
        <f t="shared" si="50"/>
        <v/>
      </c>
      <c r="Q177" s="38"/>
      <c r="R177" s="38"/>
      <c r="S177" s="38"/>
      <c r="T177" s="38"/>
      <c r="U177" s="18">
        <f t="shared" si="41"/>
        <v>0</v>
      </c>
      <c r="V177" s="18" t="str">
        <f t="shared" si="42"/>
        <v/>
      </c>
      <c r="W177" s="18" t="str">
        <f>IF(E177="Y",PAR!$C$12,IF(J177="","",IF(J177&lt;11,PAR!$C$6,IF(J177&lt;50,PAR!$C$7,IF(J177&lt;60,PAR!$C$8,IF(J177&lt;70,PAR!$C$9,IF(J177&lt;80,PAR!$C$10,IF(J177&gt;79,PAR!$C$11,0))))))))</f>
        <v/>
      </c>
      <c r="X177" s="18" t="str">
        <f t="shared" si="43"/>
        <v/>
      </c>
      <c r="Y177" s="21" t="str">
        <f t="shared" si="44"/>
        <v/>
      </c>
      <c r="Z177" s="100" t="str">
        <f>IF(IFERROR(IF(E177="Y",(W177*(X177-PAR!$C$15)*Y177)*C177,IF(AA177&lt;&gt;"","See Comment",IFERROR(W177*X177*Y177*C177,"Fill all blue cells"))),"Fill all blue cells")&lt;0,0,(IFERROR(IF(E177="Y",(W177*(X177-PAR!$C$15)*Y177)*C177,IF(AA177&lt;&gt;"","See Comment",IFERROR(W177*X177*Y177*C177,"Fill all blue cells"))),"Fill all blue cells")))</f>
        <v>See Comment</v>
      </c>
      <c r="AA177"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7" s="116" t="str">
        <f t="shared" si="52"/>
        <v/>
      </c>
      <c r="AC177" s="20" t="str">
        <f>IF(AND(E177="Y",D177&lt;PAR!C178),"Non bus miles are less than the minumum of 10 (see column D)",IF(AND(E177="Y",F177&lt;&gt;""),"Non Bus Miles",""))</f>
        <v/>
      </c>
      <c r="AD177" s="20" t="str">
        <f t="shared" si="53"/>
        <v/>
      </c>
      <c r="AE177" s="20" t="str">
        <f t="shared" si="45"/>
        <v>Fill Rated Capacity (see column J),</v>
      </c>
      <c r="AF177" s="20" t="str">
        <f t="shared" si="46"/>
        <v/>
      </c>
      <c r="AG177" s="20" t="str">
        <f t="shared" si="47"/>
        <v>Fill reimbursement % for this LE (see column C)</v>
      </c>
      <c r="AH177" s="20" t="str">
        <f t="shared" si="48"/>
        <v>This route has no eligible riders (see columns L:O)</v>
      </c>
      <c r="AI177" s="20" t="str">
        <f t="shared" si="49"/>
        <v>Fill miles per day (see column D)</v>
      </c>
      <c r="AJ177" s="20" t="str">
        <f t="shared" si="54"/>
        <v>Fill number of operating days (see column F)</v>
      </c>
      <c r="AK177" s="20" t="str">
        <f t="shared" si="55"/>
        <v>Fill Non-Bus Miles with Y or N (See column E)</v>
      </c>
      <c r="AL177" s="98" t="s">
        <v>422</v>
      </c>
      <c r="AM177" s="20" t="str">
        <f t="shared" si="56"/>
        <v/>
      </c>
    </row>
    <row r="178" spans="1:39" x14ac:dyDescent="0.75">
      <c r="A178" s="1" t="s">
        <v>263</v>
      </c>
      <c r="B178" s="130"/>
      <c r="C178" s="33"/>
      <c r="D178" s="41"/>
      <c r="E178" s="48"/>
      <c r="F178" s="45"/>
      <c r="G178" s="32"/>
      <c r="H178" s="16" t="s">
        <v>50</v>
      </c>
      <c r="I178" s="126"/>
      <c r="J178" s="32"/>
      <c r="K178" s="16" t="str">
        <f t="shared" si="40"/>
        <v/>
      </c>
      <c r="L178" s="37"/>
      <c r="M178" s="37"/>
      <c r="N178" s="37"/>
      <c r="O178" s="37"/>
      <c r="P178" s="16" t="str">
        <f t="shared" si="50"/>
        <v/>
      </c>
      <c r="Q178" s="37"/>
      <c r="R178" s="37"/>
      <c r="S178" s="37"/>
      <c r="T178" s="37"/>
      <c r="U178" s="16">
        <f t="shared" si="41"/>
        <v>0</v>
      </c>
      <c r="V178" s="16" t="str">
        <f t="shared" si="42"/>
        <v/>
      </c>
      <c r="W178" s="16" t="str">
        <f>IF(E178="Y",PAR!$C$12,IF(J178="","",IF(J178&lt;11,PAR!$C$6,IF(J178&lt;50,PAR!$C$7,IF(J178&lt;60,PAR!$C$8,IF(J178&lt;70,PAR!$C$9,IF(J178&lt;80,PAR!$C$10,IF(J178&gt;79,PAR!$C$11,0))))))))</f>
        <v/>
      </c>
      <c r="X178" s="16" t="str">
        <f t="shared" si="43"/>
        <v/>
      </c>
      <c r="Y178" s="22" t="str">
        <f t="shared" si="44"/>
        <v/>
      </c>
      <c r="Z178" s="100" t="str">
        <f>IF(IFERROR(IF(E178="Y",(W178*(X178-PAR!$C$15)*Y178)*C178,IF(AA178&lt;&gt;"","See Comment",IFERROR(W178*X178*Y178*C178,"Fill all blue cells"))),"Fill all blue cells")&lt;0,0,(IFERROR(IF(E178="Y",(W178*(X178-PAR!$C$15)*Y178)*C178,IF(AA178&lt;&gt;"","See Comment",IFERROR(W178*X178*Y178*C178,"Fill all blue cells"))),"Fill all blue cells")))</f>
        <v>See Comment</v>
      </c>
      <c r="AA178"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8" s="116" t="str">
        <f t="shared" si="52"/>
        <v/>
      </c>
      <c r="AC178" s="20" t="str">
        <f>IF(AND(E178="Y",D178&lt;PAR!C179),"Non bus miles are less than the minumum of 10 (see column D)",IF(AND(E178="Y",F178&lt;&gt;""),"Non Bus Miles",""))</f>
        <v/>
      </c>
      <c r="AD178" s="20" t="str">
        <f t="shared" si="53"/>
        <v/>
      </c>
      <c r="AE178" s="20" t="str">
        <f t="shared" si="45"/>
        <v>Fill Rated Capacity (see column J),</v>
      </c>
      <c r="AF178" s="20" t="str">
        <f t="shared" si="46"/>
        <v/>
      </c>
      <c r="AG178" s="20" t="str">
        <f t="shared" si="47"/>
        <v>Fill reimbursement % for this LE (see column C)</v>
      </c>
      <c r="AH178" s="20" t="str">
        <f t="shared" si="48"/>
        <v>This route has no eligible riders (see columns L:O)</v>
      </c>
      <c r="AI178" s="20" t="str">
        <f t="shared" si="49"/>
        <v>Fill miles per day (see column D)</v>
      </c>
      <c r="AJ178" s="20" t="str">
        <f t="shared" si="54"/>
        <v>Fill number of operating days (see column F)</v>
      </c>
      <c r="AK178" s="20" t="str">
        <f t="shared" si="55"/>
        <v>Fill Non-Bus Miles with Y or N (See column E)</v>
      </c>
      <c r="AL178" s="98" t="s">
        <v>422</v>
      </c>
      <c r="AM178" s="20" t="str">
        <f t="shared" si="56"/>
        <v/>
      </c>
    </row>
    <row r="179" spans="1:39" x14ac:dyDescent="0.75">
      <c r="A179" s="1" t="s">
        <v>264</v>
      </c>
      <c r="B179" s="130"/>
      <c r="C179" s="36"/>
      <c r="D179" s="42"/>
      <c r="E179" s="47"/>
      <c r="F179" s="44"/>
      <c r="G179" s="35"/>
      <c r="H179" s="18" t="s">
        <v>50</v>
      </c>
      <c r="I179" s="125"/>
      <c r="J179" s="35"/>
      <c r="K179" s="18" t="str">
        <f t="shared" si="40"/>
        <v/>
      </c>
      <c r="L179" s="38"/>
      <c r="M179" s="38"/>
      <c r="N179" s="38"/>
      <c r="O179" s="38"/>
      <c r="P179" s="18" t="str">
        <f t="shared" si="50"/>
        <v/>
      </c>
      <c r="Q179" s="38"/>
      <c r="R179" s="38"/>
      <c r="S179" s="38"/>
      <c r="T179" s="38"/>
      <c r="U179" s="18">
        <f t="shared" si="41"/>
        <v>0</v>
      </c>
      <c r="V179" s="18" t="str">
        <f t="shared" si="42"/>
        <v/>
      </c>
      <c r="W179" s="18" t="str">
        <f>IF(E179="Y",PAR!$C$12,IF(J179="","",IF(J179&lt;11,PAR!$C$6,IF(J179&lt;50,PAR!$C$7,IF(J179&lt;60,PAR!$C$8,IF(J179&lt;70,PAR!$C$9,IF(J179&lt;80,PAR!$C$10,IF(J179&gt;79,PAR!$C$11,0))))))))</f>
        <v/>
      </c>
      <c r="X179" s="18" t="str">
        <f t="shared" si="43"/>
        <v/>
      </c>
      <c r="Y179" s="21" t="str">
        <f t="shared" si="44"/>
        <v/>
      </c>
      <c r="Z179" s="100" t="str">
        <f>IF(IFERROR(IF(E179="Y",(W179*(X179-PAR!$C$15)*Y179)*C179,IF(AA179&lt;&gt;"","See Comment",IFERROR(W179*X179*Y179*C179,"Fill all blue cells"))),"Fill all blue cells")&lt;0,0,(IFERROR(IF(E179="Y",(W179*(X179-PAR!$C$15)*Y179)*C179,IF(AA179&lt;&gt;"","See Comment",IFERROR(W179*X179*Y179*C179,"Fill all blue cells"))),"Fill all blue cells")))</f>
        <v>See Comment</v>
      </c>
      <c r="AA179"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9" s="116" t="str">
        <f t="shared" si="52"/>
        <v/>
      </c>
      <c r="AC179" s="20" t="str">
        <f>IF(AND(E179="Y",D179&lt;PAR!C180),"Non bus miles are less than the minumum of 10 (see column D)",IF(AND(E179="Y",F179&lt;&gt;""),"Non Bus Miles",""))</f>
        <v/>
      </c>
      <c r="AD179" s="20" t="str">
        <f t="shared" si="53"/>
        <v/>
      </c>
      <c r="AE179" s="20" t="str">
        <f t="shared" si="45"/>
        <v>Fill Rated Capacity (see column J),</v>
      </c>
      <c r="AF179" s="20" t="str">
        <f t="shared" si="46"/>
        <v/>
      </c>
      <c r="AG179" s="20" t="str">
        <f t="shared" si="47"/>
        <v>Fill reimbursement % for this LE (see column C)</v>
      </c>
      <c r="AH179" s="20" t="str">
        <f t="shared" si="48"/>
        <v>This route has no eligible riders (see columns L:O)</v>
      </c>
      <c r="AI179" s="20" t="str">
        <f t="shared" si="49"/>
        <v>Fill miles per day (see column D)</v>
      </c>
      <c r="AJ179" s="20" t="str">
        <f t="shared" si="54"/>
        <v>Fill number of operating days (see column F)</v>
      </c>
      <c r="AK179" s="20" t="str">
        <f t="shared" si="55"/>
        <v>Fill Non-Bus Miles with Y or N (See column E)</v>
      </c>
      <c r="AL179" s="98" t="s">
        <v>422</v>
      </c>
      <c r="AM179" s="20" t="str">
        <f t="shared" si="56"/>
        <v/>
      </c>
    </row>
    <row r="180" spans="1:39" x14ac:dyDescent="0.75">
      <c r="A180" s="1" t="s">
        <v>265</v>
      </c>
      <c r="B180" s="130"/>
      <c r="C180" s="33"/>
      <c r="D180" s="41"/>
      <c r="E180" s="48"/>
      <c r="F180" s="45"/>
      <c r="G180" s="32"/>
      <c r="H180" s="16" t="s">
        <v>50</v>
      </c>
      <c r="I180" s="126"/>
      <c r="J180" s="32"/>
      <c r="K180" s="16" t="str">
        <f t="shared" si="40"/>
        <v/>
      </c>
      <c r="L180" s="37"/>
      <c r="M180" s="37"/>
      <c r="N180" s="37"/>
      <c r="O180" s="37"/>
      <c r="P180" s="16" t="str">
        <f t="shared" si="50"/>
        <v/>
      </c>
      <c r="Q180" s="37"/>
      <c r="R180" s="37"/>
      <c r="S180" s="37"/>
      <c r="T180" s="37"/>
      <c r="U180" s="16">
        <f t="shared" si="41"/>
        <v>0</v>
      </c>
      <c r="V180" s="16" t="str">
        <f t="shared" si="42"/>
        <v/>
      </c>
      <c r="W180" s="16" t="str">
        <f>IF(E180="Y",PAR!$C$12,IF(J180="","",IF(J180&lt;11,PAR!$C$6,IF(J180&lt;50,PAR!$C$7,IF(J180&lt;60,PAR!$C$8,IF(J180&lt;70,PAR!$C$9,IF(J180&lt;80,PAR!$C$10,IF(J180&gt;79,PAR!$C$11,0))))))))</f>
        <v/>
      </c>
      <c r="X180" s="16" t="str">
        <f t="shared" si="43"/>
        <v/>
      </c>
      <c r="Y180" s="22" t="str">
        <f t="shared" si="44"/>
        <v/>
      </c>
      <c r="Z180" s="100" t="str">
        <f>IF(IFERROR(IF(E180="Y",(W180*(X180-PAR!$C$15)*Y180)*C180,IF(AA180&lt;&gt;"","See Comment",IFERROR(W180*X180*Y180*C180,"Fill all blue cells"))),"Fill all blue cells")&lt;0,0,(IFERROR(IF(E180="Y",(W180*(X180-PAR!$C$15)*Y180)*C180,IF(AA180&lt;&gt;"","See Comment",IFERROR(W180*X180*Y180*C180,"Fill all blue cells"))),"Fill all blue cells")))</f>
        <v>See Comment</v>
      </c>
      <c r="AA180"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0" s="116" t="str">
        <f t="shared" si="52"/>
        <v/>
      </c>
      <c r="AC180" s="20" t="str">
        <f>IF(AND(E180="Y",D180&lt;PAR!C181),"Non bus miles are less than the minumum of 10 (see column D)",IF(AND(E180="Y",F180&lt;&gt;""),"Non Bus Miles",""))</f>
        <v/>
      </c>
      <c r="AD180" s="20" t="str">
        <f t="shared" si="53"/>
        <v/>
      </c>
      <c r="AE180" s="20" t="str">
        <f t="shared" si="45"/>
        <v>Fill Rated Capacity (see column J),</v>
      </c>
      <c r="AF180" s="20" t="str">
        <f t="shared" si="46"/>
        <v/>
      </c>
      <c r="AG180" s="20" t="str">
        <f t="shared" si="47"/>
        <v>Fill reimbursement % for this LE (see column C)</v>
      </c>
      <c r="AH180" s="20" t="str">
        <f t="shared" si="48"/>
        <v>This route has no eligible riders (see columns L:O)</v>
      </c>
      <c r="AI180" s="20" t="str">
        <f t="shared" si="49"/>
        <v>Fill miles per day (see column D)</v>
      </c>
      <c r="AJ180" s="20" t="str">
        <f t="shared" si="54"/>
        <v>Fill number of operating days (see column F)</v>
      </c>
      <c r="AK180" s="20" t="str">
        <f t="shared" si="55"/>
        <v>Fill Non-Bus Miles with Y or N (See column E)</v>
      </c>
      <c r="AL180" s="98" t="s">
        <v>422</v>
      </c>
      <c r="AM180" s="20" t="str">
        <f t="shared" si="56"/>
        <v/>
      </c>
    </row>
    <row r="181" spans="1:39" x14ac:dyDescent="0.75">
      <c r="A181" s="1" t="s">
        <v>266</v>
      </c>
      <c r="B181" s="130"/>
      <c r="C181" s="36"/>
      <c r="D181" s="42"/>
      <c r="E181" s="47"/>
      <c r="F181" s="44"/>
      <c r="G181" s="35"/>
      <c r="H181" s="18" t="s">
        <v>50</v>
      </c>
      <c r="I181" s="125"/>
      <c r="J181" s="35"/>
      <c r="K181" s="18" t="str">
        <f t="shared" si="40"/>
        <v/>
      </c>
      <c r="L181" s="38"/>
      <c r="M181" s="38"/>
      <c r="N181" s="38"/>
      <c r="O181" s="38"/>
      <c r="P181" s="18" t="str">
        <f t="shared" si="50"/>
        <v/>
      </c>
      <c r="Q181" s="38"/>
      <c r="R181" s="38"/>
      <c r="S181" s="38"/>
      <c r="T181" s="38"/>
      <c r="U181" s="18">
        <f t="shared" si="41"/>
        <v>0</v>
      </c>
      <c r="V181" s="18" t="str">
        <f t="shared" si="42"/>
        <v/>
      </c>
      <c r="W181" s="18" t="str">
        <f>IF(E181="Y",PAR!$C$12,IF(J181="","",IF(J181&lt;11,PAR!$C$6,IF(J181&lt;50,PAR!$C$7,IF(J181&lt;60,PAR!$C$8,IF(J181&lt;70,PAR!$C$9,IF(J181&lt;80,PAR!$C$10,IF(J181&gt;79,PAR!$C$11,0))))))))</f>
        <v/>
      </c>
      <c r="X181" s="18" t="str">
        <f t="shared" si="43"/>
        <v/>
      </c>
      <c r="Y181" s="21" t="str">
        <f t="shared" si="44"/>
        <v/>
      </c>
      <c r="Z181" s="100" t="str">
        <f>IF(IFERROR(IF(E181="Y",(W181*(X181-PAR!$C$15)*Y181)*C181,IF(AA181&lt;&gt;"","See Comment",IFERROR(W181*X181*Y181*C181,"Fill all blue cells"))),"Fill all blue cells")&lt;0,0,(IFERROR(IF(E181="Y",(W181*(X181-PAR!$C$15)*Y181)*C181,IF(AA181&lt;&gt;"","See Comment",IFERROR(W181*X181*Y181*C181,"Fill all blue cells"))),"Fill all blue cells")))</f>
        <v>See Comment</v>
      </c>
      <c r="AA181"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1" s="116" t="str">
        <f t="shared" si="52"/>
        <v/>
      </c>
      <c r="AC181" s="20" t="str">
        <f>IF(AND(E181="Y",D181&lt;PAR!C182),"Non bus miles are less than the minumum of 10 (see column D)",IF(AND(E181="Y",F181&lt;&gt;""),"Non Bus Miles",""))</f>
        <v/>
      </c>
      <c r="AD181" s="20" t="str">
        <f t="shared" si="53"/>
        <v/>
      </c>
      <c r="AE181" s="20" t="str">
        <f t="shared" si="45"/>
        <v>Fill Rated Capacity (see column J),</v>
      </c>
      <c r="AF181" s="20" t="str">
        <f t="shared" si="46"/>
        <v/>
      </c>
      <c r="AG181" s="20" t="str">
        <f t="shared" si="47"/>
        <v>Fill reimbursement % for this LE (see column C)</v>
      </c>
      <c r="AH181" s="20" t="str">
        <f t="shared" si="48"/>
        <v>This route has no eligible riders (see columns L:O)</v>
      </c>
      <c r="AI181" s="20" t="str">
        <f t="shared" si="49"/>
        <v>Fill miles per day (see column D)</v>
      </c>
      <c r="AJ181" s="20" t="str">
        <f t="shared" si="54"/>
        <v>Fill number of operating days (see column F)</v>
      </c>
      <c r="AK181" s="20" t="str">
        <f t="shared" si="55"/>
        <v>Fill Non-Bus Miles with Y or N (See column E)</v>
      </c>
      <c r="AL181" s="98" t="s">
        <v>422</v>
      </c>
      <c r="AM181" s="20" t="str">
        <f t="shared" si="56"/>
        <v/>
      </c>
    </row>
    <row r="182" spans="1:39" x14ac:dyDescent="0.75">
      <c r="A182" s="1" t="s">
        <v>267</v>
      </c>
      <c r="B182" s="130"/>
      <c r="C182" s="33"/>
      <c r="D182" s="41"/>
      <c r="E182" s="48"/>
      <c r="F182" s="45"/>
      <c r="G182" s="32"/>
      <c r="H182" s="16" t="s">
        <v>50</v>
      </c>
      <c r="I182" s="126"/>
      <c r="J182" s="32"/>
      <c r="K182" s="16" t="str">
        <f t="shared" si="40"/>
        <v/>
      </c>
      <c r="L182" s="37"/>
      <c r="M182" s="37"/>
      <c r="N182" s="37"/>
      <c r="O182" s="37"/>
      <c r="P182" s="16" t="str">
        <f t="shared" si="50"/>
        <v/>
      </c>
      <c r="Q182" s="37"/>
      <c r="R182" s="37"/>
      <c r="S182" s="37"/>
      <c r="T182" s="37"/>
      <c r="U182" s="16">
        <f t="shared" si="41"/>
        <v>0</v>
      </c>
      <c r="V182" s="16" t="str">
        <f t="shared" si="42"/>
        <v/>
      </c>
      <c r="W182" s="16" t="str">
        <f>IF(E182="Y",PAR!$C$12,IF(J182="","",IF(J182&lt;11,PAR!$C$6,IF(J182&lt;50,PAR!$C$7,IF(J182&lt;60,PAR!$C$8,IF(J182&lt;70,PAR!$C$9,IF(J182&lt;80,PAR!$C$10,IF(J182&gt;79,PAR!$C$11,0))))))))</f>
        <v/>
      </c>
      <c r="X182" s="16" t="str">
        <f t="shared" si="43"/>
        <v/>
      </c>
      <c r="Y182" s="22" t="str">
        <f t="shared" si="44"/>
        <v/>
      </c>
      <c r="Z182" s="100" t="str">
        <f>IF(IFERROR(IF(E182="Y",(W182*(X182-PAR!$C$15)*Y182)*C182,IF(AA182&lt;&gt;"","See Comment",IFERROR(W182*X182*Y182*C182,"Fill all blue cells"))),"Fill all blue cells")&lt;0,0,(IFERROR(IF(E182="Y",(W182*(X182-PAR!$C$15)*Y182)*C182,IF(AA182&lt;&gt;"","See Comment",IFERROR(W182*X182*Y182*C182,"Fill all blue cells"))),"Fill all blue cells")))</f>
        <v>See Comment</v>
      </c>
      <c r="AA182"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2" s="116" t="str">
        <f t="shared" si="52"/>
        <v/>
      </c>
      <c r="AC182" s="20" t="str">
        <f>IF(AND(E182="Y",D182&lt;PAR!C183),"Non bus miles are less than the minumum of 10 (see column D)",IF(AND(E182="Y",F182&lt;&gt;""),"Non Bus Miles",""))</f>
        <v/>
      </c>
      <c r="AD182" s="20" t="str">
        <f t="shared" si="53"/>
        <v/>
      </c>
      <c r="AE182" s="20" t="str">
        <f t="shared" si="45"/>
        <v>Fill Rated Capacity (see column J),</v>
      </c>
      <c r="AF182" s="20" t="str">
        <f t="shared" si="46"/>
        <v/>
      </c>
      <c r="AG182" s="20" t="str">
        <f t="shared" si="47"/>
        <v>Fill reimbursement % for this LE (see column C)</v>
      </c>
      <c r="AH182" s="20" t="str">
        <f t="shared" si="48"/>
        <v>This route has no eligible riders (see columns L:O)</v>
      </c>
      <c r="AI182" s="20" t="str">
        <f t="shared" si="49"/>
        <v>Fill miles per day (see column D)</v>
      </c>
      <c r="AJ182" s="20" t="str">
        <f t="shared" si="54"/>
        <v>Fill number of operating days (see column F)</v>
      </c>
      <c r="AK182" s="20" t="str">
        <f t="shared" si="55"/>
        <v>Fill Non-Bus Miles with Y or N (See column E)</v>
      </c>
      <c r="AL182" s="98" t="s">
        <v>422</v>
      </c>
      <c r="AM182" s="20" t="str">
        <f t="shared" si="56"/>
        <v/>
      </c>
    </row>
    <row r="183" spans="1:39" x14ac:dyDescent="0.75">
      <c r="A183" s="1" t="s">
        <v>268</v>
      </c>
      <c r="B183" s="130"/>
      <c r="C183" s="36"/>
      <c r="D183" s="42"/>
      <c r="E183" s="47"/>
      <c r="F183" s="44"/>
      <c r="G183" s="35"/>
      <c r="H183" s="18" t="s">
        <v>50</v>
      </c>
      <c r="I183" s="125"/>
      <c r="J183" s="35"/>
      <c r="K183" s="18" t="str">
        <f t="shared" si="40"/>
        <v/>
      </c>
      <c r="L183" s="38"/>
      <c r="M183" s="38"/>
      <c r="N183" s="38"/>
      <c r="O183" s="38"/>
      <c r="P183" s="18" t="str">
        <f t="shared" si="50"/>
        <v/>
      </c>
      <c r="Q183" s="38"/>
      <c r="R183" s="38"/>
      <c r="S183" s="38"/>
      <c r="T183" s="38"/>
      <c r="U183" s="18">
        <f t="shared" si="41"/>
        <v>0</v>
      </c>
      <c r="V183" s="18" t="str">
        <f t="shared" si="42"/>
        <v/>
      </c>
      <c r="W183" s="18" t="str">
        <f>IF(E183="Y",PAR!$C$12,IF(J183="","",IF(J183&lt;11,PAR!$C$6,IF(J183&lt;50,PAR!$C$7,IF(J183&lt;60,PAR!$C$8,IF(J183&lt;70,PAR!$C$9,IF(J183&lt;80,PAR!$C$10,IF(J183&gt;79,PAR!$C$11,0))))))))</f>
        <v/>
      </c>
      <c r="X183" s="18" t="str">
        <f t="shared" si="43"/>
        <v/>
      </c>
      <c r="Y183" s="21" t="str">
        <f t="shared" si="44"/>
        <v/>
      </c>
      <c r="Z183" s="100" t="str">
        <f>IF(IFERROR(IF(E183="Y",(W183*(X183-PAR!$C$15)*Y183)*C183,IF(AA183&lt;&gt;"","See Comment",IFERROR(W183*X183*Y183*C183,"Fill all blue cells"))),"Fill all blue cells")&lt;0,0,(IFERROR(IF(E183="Y",(W183*(X183-PAR!$C$15)*Y183)*C183,IF(AA183&lt;&gt;"","See Comment",IFERROR(W183*X183*Y183*C183,"Fill all blue cells"))),"Fill all blue cells")))</f>
        <v>See Comment</v>
      </c>
      <c r="AA183"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3" s="116" t="str">
        <f t="shared" si="52"/>
        <v/>
      </c>
      <c r="AC183" s="20" t="str">
        <f>IF(AND(E183="Y",D183&lt;PAR!C184),"Non bus miles are less than the minumum of 10 (see column D)",IF(AND(E183="Y",F183&lt;&gt;""),"Non Bus Miles",""))</f>
        <v/>
      </c>
      <c r="AD183" s="20" t="str">
        <f t="shared" si="53"/>
        <v/>
      </c>
      <c r="AE183" s="20" t="str">
        <f t="shared" si="45"/>
        <v>Fill Rated Capacity (see column J),</v>
      </c>
      <c r="AF183" s="20" t="str">
        <f t="shared" si="46"/>
        <v/>
      </c>
      <c r="AG183" s="20" t="str">
        <f t="shared" si="47"/>
        <v>Fill reimbursement % for this LE (see column C)</v>
      </c>
      <c r="AH183" s="20" t="str">
        <f t="shared" si="48"/>
        <v>This route has no eligible riders (see columns L:O)</v>
      </c>
      <c r="AI183" s="20" t="str">
        <f t="shared" si="49"/>
        <v>Fill miles per day (see column D)</v>
      </c>
      <c r="AJ183" s="20" t="str">
        <f t="shared" si="54"/>
        <v>Fill number of operating days (see column F)</v>
      </c>
      <c r="AK183" s="20" t="str">
        <f t="shared" si="55"/>
        <v>Fill Non-Bus Miles with Y or N (See column E)</v>
      </c>
      <c r="AL183" s="98" t="s">
        <v>422</v>
      </c>
      <c r="AM183" s="20" t="str">
        <f t="shared" si="56"/>
        <v/>
      </c>
    </row>
    <row r="184" spans="1:39" x14ac:dyDescent="0.75">
      <c r="A184" s="1" t="s">
        <v>269</v>
      </c>
      <c r="B184" s="130"/>
      <c r="C184" s="33"/>
      <c r="D184" s="41"/>
      <c r="E184" s="48"/>
      <c r="F184" s="45"/>
      <c r="G184" s="32"/>
      <c r="H184" s="16" t="s">
        <v>50</v>
      </c>
      <c r="I184" s="126"/>
      <c r="J184" s="32"/>
      <c r="K184" s="16" t="str">
        <f t="shared" si="40"/>
        <v/>
      </c>
      <c r="L184" s="37"/>
      <c r="M184" s="37"/>
      <c r="N184" s="37"/>
      <c r="O184" s="37"/>
      <c r="P184" s="16" t="str">
        <f t="shared" si="50"/>
        <v/>
      </c>
      <c r="Q184" s="37"/>
      <c r="R184" s="37"/>
      <c r="S184" s="37"/>
      <c r="T184" s="37"/>
      <c r="U184" s="16">
        <f t="shared" si="41"/>
        <v>0</v>
      </c>
      <c r="V184" s="16" t="str">
        <f t="shared" si="42"/>
        <v/>
      </c>
      <c r="W184" s="16" t="str">
        <f>IF(E184="Y",PAR!$C$12,IF(J184="","",IF(J184&lt;11,PAR!$C$6,IF(J184&lt;50,PAR!$C$7,IF(J184&lt;60,PAR!$C$8,IF(J184&lt;70,PAR!$C$9,IF(J184&lt;80,PAR!$C$10,IF(J184&gt;79,PAR!$C$11,0))))))))</f>
        <v/>
      </c>
      <c r="X184" s="16" t="str">
        <f t="shared" si="43"/>
        <v/>
      </c>
      <c r="Y184" s="22" t="str">
        <f t="shared" si="44"/>
        <v/>
      </c>
      <c r="Z184" s="100" t="str">
        <f>IF(IFERROR(IF(E184="Y",(W184*(X184-PAR!$C$15)*Y184)*C184,IF(AA184&lt;&gt;"","See Comment",IFERROR(W184*X184*Y184*C184,"Fill all blue cells"))),"Fill all blue cells")&lt;0,0,(IFERROR(IF(E184="Y",(W184*(X184-PAR!$C$15)*Y184)*C184,IF(AA184&lt;&gt;"","See Comment",IFERROR(W184*X184*Y184*C184,"Fill all blue cells"))),"Fill all blue cells")))</f>
        <v>See Comment</v>
      </c>
      <c r="AA184"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4" s="116" t="str">
        <f t="shared" si="52"/>
        <v/>
      </c>
      <c r="AC184" s="20" t="str">
        <f>IF(AND(E184="Y",D184&lt;PAR!C185),"Non bus miles are less than the minumum of 10 (see column D)",IF(AND(E184="Y",F184&lt;&gt;""),"Non Bus Miles",""))</f>
        <v/>
      </c>
      <c r="AD184" s="20" t="str">
        <f t="shared" si="53"/>
        <v/>
      </c>
      <c r="AE184" s="20" t="str">
        <f t="shared" si="45"/>
        <v>Fill Rated Capacity (see column J),</v>
      </c>
      <c r="AF184" s="20" t="str">
        <f t="shared" si="46"/>
        <v/>
      </c>
      <c r="AG184" s="20" t="str">
        <f t="shared" si="47"/>
        <v>Fill reimbursement % for this LE (see column C)</v>
      </c>
      <c r="AH184" s="20" t="str">
        <f t="shared" si="48"/>
        <v>This route has no eligible riders (see columns L:O)</v>
      </c>
      <c r="AI184" s="20" t="str">
        <f t="shared" si="49"/>
        <v>Fill miles per day (see column D)</v>
      </c>
      <c r="AJ184" s="20" t="str">
        <f t="shared" si="54"/>
        <v>Fill number of operating days (see column F)</v>
      </c>
      <c r="AK184" s="20" t="str">
        <f t="shared" si="55"/>
        <v>Fill Non-Bus Miles with Y or N (See column E)</v>
      </c>
      <c r="AL184" s="98" t="s">
        <v>422</v>
      </c>
      <c r="AM184" s="20" t="str">
        <f t="shared" si="56"/>
        <v/>
      </c>
    </row>
    <row r="185" spans="1:39" x14ac:dyDescent="0.75">
      <c r="A185" s="1" t="s">
        <v>270</v>
      </c>
      <c r="B185" s="130"/>
      <c r="C185" s="36"/>
      <c r="D185" s="42"/>
      <c r="E185" s="47"/>
      <c r="F185" s="44"/>
      <c r="G185" s="35"/>
      <c r="H185" s="18" t="s">
        <v>50</v>
      </c>
      <c r="I185" s="125"/>
      <c r="J185" s="35"/>
      <c r="K185" s="18" t="str">
        <f t="shared" si="40"/>
        <v/>
      </c>
      <c r="L185" s="38"/>
      <c r="M185" s="38"/>
      <c r="N185" s="38"/>
      <c r="O185" s="38"/>
      <c r="P185" s="18" t="str">
        <f t="shared" si="50"/>
        <v/>
      </c>
      <c r="Q185" s="38"/>
      <c r="R185" s="38"/>
      <c r="S185" s="38"/>
      <c r="T185" s="38"/>
      <c r="U185" s="18">
        <f t="shared" si="41"/>
        <v>0</v>
      </c>
      <c r="V185" s="18" t="str">
        <f t="shared" si="42"/>
        <v/>
      </c>
      <c r="W185" s="18" t="str">
        <f>IF(E185="Y",PAR!$C$12,IF(J185="","",IF(J185&lt;11,PAR!$C$6,IF(J185&lt;50,PAR!$C$7,IF(J185&lt;60,PAR!$C$8,IF(J185&lt;70,PAR!$C$9,IF(J185&lt;80,PAR!$C$10,IF(J185&gt;79,PAR!$C$11,0))))))))</f>
        <v/>
      </c>
      <c r="X185" s="18" t="str">
        <f t="shared" si="43"/>
        <v/>
      </c>
      <c r="Y185" s="21" t="str">
        <f t="shared" si="44"/>
        <v/>
      </c>
      <c r="Z185" s="100" t="str">
        <f>IF(IFERROR(IF(E185="Y",(W185*(X185-PAR!$C$15)*Y185)*C185,IF(AA185&lt;&gt;"","See Comment",IFERROR(W185*X185*Y185*C185,"Fill all blue cells"))),"Fill all blue cells")&lt;0,0,(IFERROR(IF(E185="Y",(W185*(X185-PAR!$C$15)*Y185)*C185,IF(AA185&lt;&gt;"","See Comment",IFERROR(W185*X185*Y185*C185,"Fill all blue cells"))),"Fill all blue cells")))</f>
        <v>See Comment</v>
      </c>
      <c r="AA185"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5" s="116" t="str">
        <f t="shared" si="52"/>
        <v/>
      </c>
      <c r="AC185" s="20" t="str">
        <f>IF(AND(E185="Y",D185&lt;PAR!C186),"Non bus miles are less than the minumum of 10 (see column D)",IF(AND(E185="Y",F185&lt;&gt;""),"Non Bus Miles",""))</f>
        <v/>
      </c>
      <c r="AD185" s="20" t="str">
        <f t="shared" si="53"/>
        <v/>
      </c>
      <c r="AE185" s="20" t="str">
        <f t="shared" si="45"/>
        <v>Fill Rated Capacity (see column J),</v>
      </c>
      <c r="AF185" s="20" t="str">
        <f t="shared" si="46"/>
        <v/>
      </c>
      <c r="AG185" s="20" t="str">
        <f t="shared" si="47"/>
        <v>Fill reimbursement % for this LE (see column C)</v>
      </c>
      <c r="AH185" s="20" t="str">
        <f t="shared" si="48"/>
        <v>This route has no eligible riders (see columns L:O)</v>
      </c>
      <c r="AI185" s="20" t="str">
        <f t="shared" si="49"/>
        <v>Fill miles per day (see column D)</v>
      </c>
      <c r="AJ185" s="20" t="str">
        <f t="shared" si="54"/>
        <v>Fill number of operating days (see column F)</v>
      </c>
      <c r="AK185" s="20" t="str">
        <f t="shared" si="55"/>
        <v>Fill Non-Bus Miles with Y or N (See column E)</v>
      </c>
      <c r="AL185" s="98" t="s">
        <v>422</v>
      </c>
      <c r="AM185" s="20" t="str">
        <f t="shared" si="56"/>
        <v/>
      </c>
    </row>
    <row r="186" spans="1:39" x14ac:dyDescent="0.75">
      <c r="A186" s="1" t="s">
        <v>271</v>
      </c>
      <c r="B186" s="130"/>
      <c r="C186" s="33"/>
      <c r="D186" s="41"/>
      <c r="E186" s="48"/>
      <c r="F186" s="45"/>
      <c r="G186" s="32"/>
      <c r="H186" s="16" t="s">
        <v>50</v>
      </c>
      <c r="I186" s="126"/>
      <c r="J186" s="32"/>
      <c r="K186" s="16" t="str">
        <f t="shared" si="40"/>
        <v/>
      </c>
      <c r="L186" s="37"/>
      <c r="M186" s="37"/>
      <c r="N186" s="37"/>
      <c r="O186" s="37"/>
      <c r="P186" s="16" t="str">
        <f t="shared" si="50"/>
        <v/>
      </c>
      <c r="Q186" s="37"/>
      <c r="R186" s="37"/>
      <c r="S186" s="37"/>
      <c r="T186" s="37"/>
      <c r="U186" s="16">
        <f t="shared" si="41"/>
        <v>0</v>
      </c>
      <c r="V186" s="16" t="str">
        <f t="shared" si="42"/>
        <v/>
      </c>
      <c r="W186" s="16" t="str">
        <f>IF(E186="Y",PAR!$C$12,IF(J186="","",IF(J186&lt;11,PAR!$C$6,IF(J186&lt;50,PAR!$C$7,IF(J186&lt;60,PAR!$C$8,IF(J186&lt;70,PAR!$C$9,IF(J186&lt;80,PAR!$C$10,IF(J186&gt;79,PAR!$C$11,0))))))))</f>
        <v/>
      </c>
      <c r="X186" s="16" t="str">
        <f t="shared" si="43"/>
        <v/>
      </c>
      <c r="Y186" s="22" t="str">
        <f t="shared" si="44"/>
        <v/>
      </c>
      <c r="Z186" s="100" t="str">
        <f>IF(IFERROR(IF(E186="Y",(W186*(X186-PAR!$C$15)*Y186)*C186,IF(AA186&lt;&gt;"","See Comment",IFERROR(W186*X186*Y186*C186,"Fill all blue cells"))),"Fill all blue cells")&lt;0,0,(IFERROR(IF(E186="Y",(W186*(X186-PAR!$C$15)*Y186)*C186,IF(AA186&lt;&gt;"","See Comment",IFERROR(W186*X186*Y186*C186,"Fill all blue cells"))),"Fill all blue cells")))</f>
        <v>See Comment</v>
      </c>
      <c r="AA186"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6" s="116" t="str">
        <f t="shared" si="52"/>
        <v/>
      </c>
      <c r="AC186" s="20" t="str">
        <f>IF(AND(E186="Y",D186&lt;PAR!C187),"Non bus miles are less than the minumum of 10 (see column D)",IF(AND(E186="Y",F186&lt;&gt;""),"Non Bus Miles",""))</f>
        <v/>
      </c>
      <c r="AD186" s="20" t="str">
        <f t="shared" si="53"/>
        <v/>
      </c>
      <c r="AE186" s="20" t="str">
        <f t="shared" si="45"/>
        <v>Fill Rated Capacity (see column J),</v>
      </c>
      <c r="AF186" s="20" t="str">
        <f t="shared" si="46"/>
        <v/>
      </c>
      <c r="AG186" s="20" t="str">
        <f t="shared" si="47"/>
        <v>Fill reimbursement % for this LE (see column C)</v>
      </c>
      <c r="AH186" s="20" t="str">
        <f t="shared" si="48"/>
        <v>This route has no eligible riders (see columns L:O)</v>
      </c>
      <c r="AI186" s="20" t="str">
        <f t="shared" si="49"/>
        <v>Fill miles per day (see column D)</v>
      </c>
      <c r="AJ186" s="20" t="str">
        <f t="shared" si="54"/>
        <v>Fill number of operating days (see column F)</v>
      </c>
      <c r="AK186" s="20" t="str">
        <f t="shared" si="55"/>
        <v>Fill Non-Bus Miles with Y or N (See column E)</v>
      </c>
      <c r="AL186" s="98" t="s">
        <v>422</v>
      </c>
      <c r="AM186" s="20" t="str">
        <f t="shared" si="56"/>
        <v/>
      </c>
    </row>
    <row r="187" spans="1:39" x14ac:dyDescent="0.75">
      <c r="A187" s="1" t="s">
        <v>272</v>
      </c>
      <c r="B187" s="130"/>
      <c r="C187" s="36"/>
      <c r="D187" s="42"/>
      <c r="E187" s="47"/>
      <c r="F187" s="44"/>
      <c r="G187" s="35"/>
      <c r="H187" s="18" t="s">
        <v>50</v>
      </c>
      <c r="I187" s="125"/>
      <c r="J187" s="35"/>
      <c r="K187" s="18" t="str">
        <f t="shared" si="40"/>
        <v/>
      </c>
      <c r="L187" s="38"/>
      <c r="M187" s="38"/>
      <c r="N187" s="38"/>
      <c r="O187" s="38"/>
      <c r="P187" s="18" t="str">
        <f t="shared" si="50"/>
        <v/>
      </c>
      <c r="Q187" s="38"/>
      <c r="R187" s="38"/>
      <c r="S187" s="38"/>
      <c r="T187" s="38"/>
      <c r="U187" s="18">
        <f t="shared" si="41"/>
        <v>0</v>
      </c>
      <c r="V187" s="18" t="str">
        <f t="shared" si="42"/>
        <v/>
      </c>
      <c r="W187" s="18" t="str">
        <f>IF(E187="Y",PAR!$C$12,IF(J187="","",IF(J187&lt;11,PAR!$C$6,IF(J187&lt;50,PAR!$C$7,IF(J187&lt;60,PAR!$C$8,IF(J187&lt;70,PAR!$C$9,IF(J187&lt;80,PAR!$C$10,IF(J187&gt;79,PAR!$C$11,0))))))))</f>
        <v/>
      </c>
      <c r="X187" s="18" t="str">
        <f t="shared" si="43"/>
        <v/>
      </c>
      <c r="Y187" s="21" t="str">
        <f t="shared" si="44"/>
        <v/>
      </c>
      <c r="Z187" s="100" t="str">
        <f>IF(IFERROR(IF(E187="Y",(W187*(X187-PAR!$C$15)*Y187)*C187,IF(AA187&lt;&gt;"","See Comment",IFERROR(W187*X187*Y187*C187,"Fill all blue cells"))),"Fill all blue cells")&lt;0,0,(IFERROR(IF(E187="Y",(W187*(X187-PAR!$C$15)*Y187)*C187,IF(AA187&lt;&gt;"","See Comment",IFERROR(W187*X187*Y187*C187,"Fill all blue cells"))),"Fill all blue cells")))</f>
        <v>See Comment</v>
      </c>
      <c r="AA187"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7" s="116" t="str">
        <f t="shared" si="52"/>
        <v/>
      </c>
      <c r="AC187" s="20" t="str">
        <f>IF(AND(E187="Y",D187&lt;PAR!C188),"Non bus miles are less than the minumum of 10 (see column D)",IF(AND(E187="Y",F187&lt;&gt;""),"Non Bus Miles",""))</f>
        <v/>
      </c>
      <c r="AD187" s="20" t="str">
        <f t="shared" si="53"/>
        <v/>
      </c>
      <c r="AE187" s="20" t="str">
        <f t="shared" si="45"/>
        <v>Fill Rated Capacity (see column J),</v>
      </c>
      <c r="AF187" s="20" t="str">
        <f t="shared" si="46"/>
        <v/>
      </c>
      <c r="AG187" s="20" t="str">
        <f t="shared" si="47"/>
        <v>Fill reimbursement % for this LE (see column C)</v>
      </c>
      <c r="AH187" s="20" t="str">
        <f t="shared" si="48"/>
        <v>This route has no eligible riders (see columns L:O)</v>
      </c>
      <c r="AI187" s="20" t="str">
        <f t="shared" si="49"/>
        <v>Fill miles per day (see column D)</v>
      </c>
      <c r="AJ187" s="20" t="str">
        <f t="shared" si="54"/>
        <v>Fill number of operating days (see column F)</v>
      </c>
      <c r="AK187" s="20" t="str">
        <f t="shared" si="55"/>
        <v>Fill Non-Bus Miles with Y or N (See column E)</v>
      </c>
      <c r="AL187" s="98" t="s">
        <v>422</v>
      </c>
      <c r="AM187" s="20" t="str">
        <f t="shared" si="56"/>
        <v/>
      </c>
    </row>
    <row r="188" spans="1:39" x14ac:dyDescent="0.75">
      <c r="A188" s="1" t="s">
        <v>273</v>
      </c>
      <c r="B188" s="130"/>
      <c r="C188" s="33"/>
      <c r="D188" s="41"/>
      <c r="E188" s="48"/>
      <c r="F188" s="45"/>
      <c r="G188" s="32"/>
      <c r="H188" s="16" t="s">
        <v>50</v>
      </c>
      <c r="I188" s="126"/>
      <c r="J188" s="32"/>
      <c r="K188" s="16" t="str">
        <f t="shared" si="40"/>
        <v/>
      </c>
      <c r="L188" s="37"/>
      <c r="M188" s="37"/>
      <c r="N188" s="37"/>
      <c r="O188" s="37"/>
      <c r="P188" s="16" t="str">
        <f t="shared" si="50"/>
        <v/>
      </c>
      <c r="Q188" s="37"/>
      <c r="R188" s="37"/>
      <c r="S188" s="37"/>
      <c r="T188" s="37"/>
      <c r="U188" s="16">
        <f t="shared" si="41"/>
        <v>0</v>
      </c>
      <c r="V188" s="16" t="str">
        <f t="shared" si="42"/>
        <v/>
      </c>
      <c r="W188" s="16" t="str">
        <f>IF(E188="Y",PAR!$C$12,IF(J188="","",IF(J188&lt;11,PAR!$C$6,IF(J188&lt;50,PAR!$C$7,IF(J188&lt;60,PAR!$C$8,IF(J188&lt;70,PAR!$C$9,IF(J188&lt;80,PAR!$C$10,IF(J188&gt;79,PAR!$C$11,0))))))))</f>
        <v/>
      </c>
      <c r="X188" s="16" t="str">
        <f t="shared" si="43"/>
        <v/>
      </c>
      <c r="Y188" s="22" t="str">
        <f t="shared" si="44"/>
        <v/>
      </c>
      <c r="Z188" s="100" t="str">
        <f>IF(IFERROR(IF(E188="Y",(W188*(X188-PAR!$C$15)*Y188)*C188,IF(AA188&lt;&gt;"","See Comment",IFERROR(W188*X188*Y188*C188,"Fill all blue cells"))),"Fill all blue cells")&lt;0,0,(IFERROR(IF(E188="Y",(W188*(X188-PAR!$C$15)*Y188)*C188,IF(AA188&lt;&gt;"","See Comment",IFERROR(W188*X188*Y188*C188,"Fill all blue cells"))),"Fill all blue cells")))</f>
        <v>See Comment</v>
      </c>
      <c r="AA188"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8" s="116" t="str">
        <f t="shared" si="52"/>
        <v/>
      </c>
      <c r="AC188" s="20" t="str">
        <f>IF(AND(E188="Y",D188&lt;PAR!C189),"Non bus miles are less than the minumum of 10 (see column D)",IF(AND(E188="Y",F188&lt;&gt;""),"Non Bus Miles",""))</f>
        <v/>
      </c>
      <c r="AD188" s="20" t="str">
        <f t="shared" si="53"/>
        <v/>
      </c>
      <c r="AE188" s="20" t="str">
        <f t="shared" si="45"/>
        <v>Fill Rated Capacity (see column J),</v>
      </c>
      <c r="AF188" s="20" t="str">
        <f t="shared" si="46"/>
        <v/>
      </c>
      <c r="AG188" s="20" t="str">
        <f t="shared" si="47"/>
        <v>Fill reimbursement % for this LE (see column C)</v>
      </c>
      <c r="AH188" s="20" t="str">
        <f t="shared" si="48"/>
        <v>This route has no eligible riders (see columns L:O)</v>
      </c>
      <c r="AI188" s="20" t="str">
        <f t="shared" si="49"/>
        <v>Fill miles per day (see column D)</v>
      </c>
      <c r="AJ188" s="20" t="str">
        <f t="shared" si="54"/>
        <v>Fill number of operating days (see column F)</v>
      </c>
      <c r="AK188" s="20" t="str">
        <f t="shared" si="55"/>
        <v>Fill Non-Bus Miles with Y or N (See column E)</v>
      </c>
      <c r="AL188" s="98" t="s">
        <v>422</v>
      </c>
      <c r="AM188" s="20" t="str">
        <f t="shared" si="56"/>
        <v/>
      </c>
    </row>
    <row r="189" spans="1:39" x14ac:dyDescent="0.75">
      <c r="A189" s="1" t="s">
        <v>274</v>
      </c>
      <c r="B189" s="130"/>
      <c r="C189" s="36"/>
      <c r="D189" s="42"/>
      <c r="E189" s="47"/>
      <c r="F189" s="44"/>
      <c r="G189" s="35"/>
      <c r="H189" s="18" t="s">
        <v>50</v>
      </c>
      <c r="I189" s="125"/>
      <c r="J189" s="35"/>
      <c r="K189" s="18" t="str">
        <f t="shared" si="40"/>
        <v/>
      </c>
      <c r="L189" s="38"/>
      <c r="M189" s="38"/>
      <c r="N189" s="38"/>
      <c r="O189" s="38"/>
      <c r="P189" s="18" t="str">
        <f t="shared" si="50"/>
        <v/>
      </c>
      <c r="Q189" s="38"/>
      <c r="R189" s="38"/>
      <c r="S189" s="38"/>
      <c r="T189" s="38"/>
      <c r="U189" s="18">
        <f t="shared" si="41"/>
        <v>0</v>
      </c>
      <c r="V189" s="18" t="str">
        <f t="shared" si="42"/>
        <v/>
      </c>
      <c r="W189" s="18" t="str">
        <f>IF(E189="Y",PAR!$C$12,IF(J189="","",IF(J189&lt;11,PAR!$C$6,IF(J189&lt;50,PAR!$C$7,IF(J189&lt;60,PAR!$C$8,IF(J189&lt;70,PAR!$C$9,IF(J189&lt;80,PAR!$C$10,IF(J189&gt;79,PAR!$C$11,0))))))))</f>
        <v/>
      </c>
      <c r="X189" s="18" t="str">
        <f t="shared" si="43"/>
        <v/>
      </c>
      <c r="Y189" s="21" t="str">
        <f t="shared" si="44"/>
        <v/>
      </c>
      <c r="Z189" s="100" t="str">
        <f>IF(IFERROR(IF(E189="Y",(W189*(X189-PAR!$C$15)*Y189)*C189,IF(AA189&lt;&gt;"","See Comment",IFERROR(W189*X189*Y189*C189,"Fill all blue cells"))),"Fill all blue cells")&lt;0,0,(IFERROR(IF(E189="Y",(W189*(X189-PAR!$C$15)*Y189)*C189,IF(AA189&lt;&gt;"","See Comment",IFERROR(W189*X189*Y189*C189,"Fill all blue cells"))),"Fill all blue cells")))</f>
        <v>See Comment</v>
      </c>
      <c r="AA189"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9" s="116" t="str">
        <f t="shared" si="52"/>
        <v/>
      </c>
      <c r="AC189" s="20" t="str">
        <f>IF(AND(E189="Y",D189&lt;PAR!C190),"Non bus miles are less than the minumum of 10 (see column D)",IF(AND(E189="Y",F189&lt;&gt;""),"Non Bus Miles",""))</f>
        <v/>
      </c>
      <c r="AD189" s="20" t="str">
        <f t="shared" si="53"/>
        <v/>
      </c>
      <c r="AE189" s="20" t="str">
        <f t="shared" si="45"/>
        <v>Fill Rated Capacity (see column J),</v>
      </c>
      <c r="AF189" s="20" t="str">
        <f t="shared" si="46"/>
        <v/>
      </c>
      <c r="AG189" s="20" t="str">
        <f t="shared" si="47"/>
        <v>Fill reimbursement % for this LE (see column C)</v>
      </c>
      <c r="AH189" s="20" t="str">
        <f t="shared" si="48"/>
        <v>This route has no eligible riders (see columns L:O)</v>
      </c>
      <c r="AI189" s="20" t="str">
        <f t="shared" si="49"/>
        <v>Fill miles per day (see column D)</v>
      </c>
      <c r="AJ189" s="20" t="str">
        <f t="shared" si="54"/>
        <v>Fill number of operating days (see column F)</v>
      </c>
      <c r="AK189" s="20" t="str">
        <f t="shared" si="55"/>
        <v>Fill Non-Bus Miles with Y or N (See column E)</v>
      </c>
      <c r="AL189" s="98" t="s">
        <v>422</v>
      </c>
      <c r="AM189" s="20" t="str">
        <f t="shared" si="56"/>
        <v/>
      </c>
    </row>
    <row r="190" spans="1:39" x14ac:dyDescent="0.75">
      <c r="A190" s="1" t="s">
        <v>275</v>
      </c>
      <c r="B190" s="130"/>
      <c r="C190" s="33"/>
      <c r="D190" s="41"/>
      <c r="E190" s="48"/>
      <c r="F190" s="45"/>
      <c r="G190" s="32"/>
      <c r="H190" s="16" t="s">
        <v>50</v>
      </c>
      <c r="I190" s="126"/>
      <c r="J190" s="32"/>
      <c r="K190" s="16" t="str">
        <f t="shared" si="40"/>
        <v/>
      </c>
      <c r="L190" s="37"/>
      <c r="M190" s="37"/>
      <c r="N190" s="37"/>
      <c r="O190" s="37"/>
      <c r="P190" s="16" t="str">
        <f t="shared" si="50"/>
        <v/>
      </c>
      <c r="Q190" s="37"/>
      <c r="R190" s="37"/>
      <c r="S190" s="37"/>
      <c r="T190" s="37"/>
      <c r="U190" s="16">
        <f t="shared" si="41"/>
        <v>0</v>
      </c>
      <c r="V190" s="16" t="str">
        <f t="shared" si="42"/>
        <v/>
      </c>
      <c r="W190" s="16" t="str">
        <f>IF(E190="Y",PAR!$C$12,IF(J190="","",IF(J190&lt;11,PAR!$C$6,IF(J190&lt;50,PAR!$C$7,IF(J190&lt;60,PAR!$C$8,IF(J190&lt;70,PAR!$C$9,IF(J190&lt;80,PAR!$C$10,IF(J190&gt;79,PAR!$C$11,0))))))))</f>
        <v/>
      </c>
      <c r="X190" s="16" t="str">
        <f t="shared" si="43"/>
        <v/>
      </c>
      <c r="Y190" s="22" t="str">
        <f t="shared" si="44"/>
        <v/>
      </c>
      <c r="Z190" s="100" t="str">
        <f>IF(IFERROR(IF(E190="Y",(W190*(X190-PAR!$C$15)*Y190)*C190,IF(AA190&lt;&gt;"","See Comment",IFERROR(W190*X190*Y190*C190,"Fill all blue cells"))),"Fill all blue cells")&lt;0,0,(IFERROR(IF(E190="Y",(W190*(X190-PAR!$C$15)*Y190)*C190,IF(AA190&lt;&gt;"","See Comment",IFERROR(W190*X190*Y190*C190,"Fill all blue cells"))),"Fill all blue cells")))</f>
        <v>See Comment</v>
      </c>
      <c r="AA190"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0" s="116" t="str">
        <f t="shared" si="52"/>
        <v/>
      </c>
      <c r="AC190" s="20" t="str">
        <f>IF(AND(E190="Y",D190&lt;PAR!C191),"Non bus miles are less than the minumum of 10 (see column D)",IF(AND(E190="Y",F190&lt;&gt;""),"Non Bus Miles",""))</f>
        <v/>
      </c>
      <c r="AD190" s="20" t="str">
        <f t="shared" si="53"/>
        <v/>
      </c>
      <c r="AE190" s="20" t="str">
        <f t="shared" si="45"/>
        <v>Fill Rated Capacity (see column J),</v>
      </c>
      <c r="AF190" s="20" t="str">
        <f t="shared" si="46"/>
        <v/>
      </c>
      <c r="AG190" s="20" t="str">
        <f t="shared" si="47"/>
        <v>Fill reimbursement % for this LE (see column C)</v>
      </c>
      <c r="AH190" s="20" t="str">
        <f t="shared" si="48"/>
        <v>This route has no eligible riders (see columns L:O)</v>
      </c>
      <c r="AI190" s="20" t="str">
        <f t="shared" si="49"/>
        <v>Fill miles per day (see column D)</v>
      </c>
      <c r="AJ190" s="20" t="str">
        <f t="shared" si="54"/>
        <v>Fill number of operating days (see column F)</v>
      </c>
      <c r="AK190" s="20" t="str">
        <f t="shared" si="55"/>
        <v>Fill Non-Bus Miles with Y or N (See column E)</v>
      </c>
      <c r="AL190" s="98" t="s">
        <v>422</v>
      </c>
      <c r="AM190" s="20" t="str">
        <f t="shared" si="56"/>
        <v/>
      </c>
    </row>
    <row r="191" spans="1:39" x14ac:dyDescent="0.75">
      <c r="A191" s="1" t="s">
        <v>276</v>
      </c>
      <c r="B191" s="130"/>
      <c r="C191" s="36"/>
      <c r="D191" s="42"/>
      <c r="E191" s="47"/>
      <c r="F191" s="44"/>
      <c r="G191" s="35"/>
      <c r="H191" s="18" t="s">
        <v>50</v>
      </c>
      <c r="I191" s="125"/>
      <c r="J191" s="35"/>
      <c r="K191" s="18" t="str">
        <f t="shared" si="40"/>
        <v/>
      </c>
      <c r="L191" s="38"/>
      <c r="M191" s="38"/>
      <c r="N191" s="38"/>
      <c r="O191" s="38"/>
      <c r="P191" s="18" t="str">
        <f t="shared" si="50"/>
        <v/>
      </c>
      <c r="Q191" s="38"/>
      <c r="R191" s="38"/>
      <c r="S191" s="38"/>
      <c r="T191" s="38"/>
      <c r="U191" s="18">
        <f t="shared" si="41"/>
        <v>0</v>
      </c>
      <c r="V191" s="18" t="str">
        <f t="shared" si="42"/>
        <v/>
      </c>
      <c r="W191" s="18" t="str">
        <f>IF(E191="Y",PAR!$C$12,IF(J191="","",IF(J191&lt;11,PAR!$C$6,IF(J191&lt;50,PAR!$C$7,IF(J191&lt;60,PAR!$C$8,IF(J191&lt;70,PAR!$C$9,IF(J191&lt;80,PAR!$C$10,IF(J191&gt;79,PAR!$C$11,0))))))))</f>
        <v/>
      </c>
      <c r="X191" s="18" t="str">
        <f t="shared" si="43"/>
        <v/>
      </c>
      <c r="Y191" s="21" t="str">
        <f t="shared" si="44"/>
        <v/>
      </c>
      <c r="Z191" s="100" t="str">
        <f>IF(IFERROR(IF(E191="Y",(W191*(X191-PAR!$C$15)*Y191)*C191,IF(AA191&lt;&gt;"","See Comment",IFERROR(W191*X191*Y191*C191,"Fill all blue cells"))),"Fill all blue cells")&lt;0,0,(IFERROR(IF(E191="Y",(W191*(X191-PAR!$C$15)*Y191)*C191,IF(AA191&lt;&gt;"","See Comment",IFERROR(W191*X191*Y191*C191,"Fill all blue cells"))),"Fill all blue cells")))</f>
        <v>See Comment</v>
      </c>
      <c r="AA191"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1" s="116" t="str">
        <f t="shared" si="52"/>
        <v/>
      </c>
      <c r="AC191" s="20" t="str">
        <f>IF(AND(E191="Y",D191&lt;PAR!C192),"Non bus miles are less than the minumum of 10 (see column D)",IF(AND(E191="Y",F191&lt;&gt;""),"Non Bus Miles",""))</f>
        <v/>
      </c>
      <c r="AD191" s="20" t="str">
        <f t="shared" si="53"/>
        <v/>
      </c>
      <c r="AE191" s="20" t="str">
        <f t="shared" si="45"/>
        <v>Fill Rated Capacity (see column J),</v>
      </c>
      <c r="AF191" s="20" t="str">
        <f t="shared" si="46"/>
        <v/>
      </c>
      <c r="AG191" s="20" t="str">
        <f t="shared" si="47"/>
        <v>Fill reimbursement % for this LE (see column C)</v>
      </c>
      <c r="AH191" s="20" t="str">
        <f t="shared" si="48"/>
        <v>This route has no eligible riders (see columns L:O)</v>
      </c>
      <c r="AI191" s="20" t="str">
        <f t="shared" si="49"/>
        <v>Fill miles per day (see column D)</v>
      </c>
      <c r="AJ191" s="20" t="str">
        <f t="shared" si="54"/>
        <v>Fill number of operating days (see column F)</v>
      </c>
      <c r="AK191" s="20" t="str">
        <f t="shared" si="55"/>
        <v>Fill Non-Bus Miles with Y or N (See column E)</v>
      </c>
      <c r="AL191" s="98" t="s">
        <v>422</v>
      </c>
      <c r="AM191" s="20" t="str">
        <f t="shared" si="56"/>
        <v/>
      </c>
    </row>
    <row r="192" spans="1:39" x14ac:dyDescent="0.75">
      <c r="A192" s="1" t="s">
        <v>277</v>
      </c>
      <c r="B192" s="130"/>
      <c r="C192" s="33"/>
      <c r="D192" s="41"/>
      <c r="E192" s="48"/>
      <c r="F192" s="45"/>
      <c r="G192" s="32"/>
      <c r="H192" s="16" t="s">
        <v>50</v>
      </c>
      <c r="I192" s="126"/>
      <c r="J192" s="32"/>
      <c r="K192" s="16" t="str">
        <f t="shared" si="40"/>
        <v/>
      </c>
      <c r="L192" s="37"/>
      <c r="M192" s="37"/>
      <c r="N192" s="37"/>
      <c r="O192" s="37"/>
      <c r="P192" s="16" t="str">
        <f t="shared" si="50"/>
        <v/>
      </c>
      <c r="Q192" s="37"/>
      <c r="R192" s="37"/>
      <c r="S192" s="37"/>
      <c r="T192" s="37"/>
      <c r="U192" s="16">
        <f t="shared" si="41"/>
        <v>0</v>
      </c>
      <c r="V192" s="16" t="str">
        <f t="shared" si="42"/>
        <v/>
      </c>
      <c r="W192" s="16" t="str">
        <f>IF(E192="Y",PAR!$C$12,IF(J192="","",IF(J192&lt;11,PAR!$C$6,IF(J192&lt;50,PAR!$C$7,IF(J192&lt;60,PAR!$C$8,IF(J192&lt;70,PAR!$C$9,IF(J192&lt;80,PAR!$C$10,IF(J192&gt;79,PAR!$C$11,0))))))))</f>
        <v/>
      </c>
      <c r="X192" s="16" t="str">
        <f t="shared" si="43"/>
        <v/>
      </c>
      <c r="Y192" s="22" t="str">
        <f t="shared" si="44"/>
        <v/>
      </c>
      <c r="Z192" s="100" t="str">
        <f>IF(IFERROR(IF(E192="Y",(W192*(X192-PAR!$C$15)*Y192)*C192,IF(AA192&lt;&gt;"","See Comment",IFERROR(W192*X192*Y192*C192,"Fill all blue cells"))),"Fill all blue cells")&lt;0,0,(IFERROR(IF(E192="Y",(W192*(X192-PAR!$C$15)*Y192)*C192,IF(AA192&lt;&gt;"","See Comment",IFERROR(W192*X192*Y192*C192,"Fill all blue cells"))),"Fill all blue cells")))</f>
        <v>See Comment</v>
      </c>
      <c r="AA192"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2" s="116" t="str">
        <f t="shared" si="52"/>
        <v/>
      </c>
      <c r="AC192" s="20" t="str">
        <f>IF(AND(E192="Y",D192&lt;PAR!C193),"Non bus miles are less than the minumum of 10 (see column D)",IF(AND(E192="Y",F192&lt;&gt;""),"Non Bus Miles",""))</f>
        <v/>
      </c>
      <c r="AD192" s="20" t="str">
        <f t="shared" si="53"/>
        <v/>
      </c>
      <c r="AE192" s="20" t="str">
        <f t="shared" si="45"/>
        <v>Fill Rated Capacity (see column J),</v>
      </c>
      <c r="AF192" s="20" t="str">
        <f t="shared" si="46"/>
        <v/>
      </c>
      <c r="AG192" s="20" t="str">
        <f t="shared" si="47"/>
        <v>Fill reimbursement % for this LE (see column C)</v>
      </c>
      <c r="AH192" s="20" t="str">
        <f t="shared" si="48"/>
        <v>This route has no eligible riders (see columns L:O)</v>
      </c>
      <c r="AI192" s="20" t="str">
        <f t="shared" si="49"/>
        <v>Fill miles per day (see column D)</v>
      </c>
      <c r="AJ192" s="20" t="str">
        <f t="shared" si="54"/>
        <v>Fill number of operating days (see column F)</v>
      </c>
      <c r="AK192" s="20" t="str">
        <f t="shared" si="55"/>
        <v>Fill Non-Bus Miles with Y or N (See column E)</v>
      </c>
      <c r="AL192" s="98" t="s">
        <v>422</v>
      </c>
      <c r="AM192" s="20" t="str">
        <f t="shared" si="56"/>
        <v/>
      </c>
    </row>
    <row r="193" spans="1:39" x14ac:dyDescent="0.75">
      <c r="A193" s="1" t="s">
        <v>278</v>
      </c>
      <c r="B193" s="130"/>
      <c r="C193" s="36"/>
      <c r="D193" s="42"/>
      <c r="E193" s="47"/>
      <c r="F193" s="44"/>
      <c r="G193" s="35"/>
      <c r="H193" s="18" t="s">
        <v>50</v>
      </c>
      <c r="I193" s="125"/>
      <c r="J193" s="35"/>
      <c r="K193" s="18" t="str">
        <f t="shared" si="40"/>
        <v/>
      </c>
      <c r="L193" s="38"/>
      <c r="M193" s="38"/>
      <c r="N193" s="38"/>
      <c r="O193" s="38"/>
      <c r="P193" s="18" t="str">
        <f t="shared" si="50"/>
        <v/>
      </c>
      <c r="Q193" s="38"/>
      <c r="R193" s="38"/>
      <c r="S193" s="38"/>
      <c r="T193" s="38"/>
      <c r="U193" s="18">
        <f t="shared" si="41"/>
        <v>0</v>
      </c>
      <c r="V193" s="18" t="str">
        <f t="shared" si="42"/>
        <v/>
      </c>
      <c r="W193" s="18" t="str">
        <f>IF(E193="Y",PAR!$C$12,IF(J193="","",IF(J193&lt;11,PAR!$C$6,IF(J193&lt;50,PAR!$C$7,IF(J193&lt;60,PAR!$C$8,IF(J193&lt;70,PAR!$C$9,IF(J193&lt;80,PAR!$C$10,IF(J193&gt;79,PAR!$C$11,0))))))))</f>
        <v/>
      </c>
      <c r="X193" s="18" t="str">
        <f t="shared" si="43"/>
        <v/>
      </c>
      <c r="Y193" s="21" t="str">
        <f t="shared" si="44"/>
        <v/>
      </c>
      <c r="Z193" s="100" t="str">
        <f>IF(IFERROR(IF(E193="Y",(W193*(X193-PAR!$C$15)*Y193)*C193,IF(AA193&lt;&gt;"","See Comment",IFERROR(W193*X193*Y193*C193,"Fill all blue cells"))),"Fill all blue cells")&lt;0,0,(IFERROR(IF(E193="Y",(W193*(X193-PAR!$C$15)*Y193)*C193,IF(AA193&lt;&gt;"","See Comment",IFERROR(W193*X193*Y193*C193,"Fill all blue cells"))),"Fill all blue cells")))</f>
        <v>See Comment</v>
      </c>
      <c r="AA193"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3" s="116" t="str">
        <f t="shared" si="52"/>
        <v/>
      </c>
      <c r="AC193" s="20" t="str">
        <f>IF(AND(E193="Y",D193&lt;PAR!C194),"Non bus miles are less than the minumum of 10 (see column D)",IF(AND(E193="Y",F193&lt;&gt;""),"Non Bus Miles",""))</f>
        <v/>
      </c>
      <c r="AD193" s="20" t="str">
        <f t="shared" si="53"/>
        <v/>
      </c>
      <c r="AE193" s="20" t="str">
        <f t="shared" si="45"/>
        <v>Fill Rated Capacity (see column J),</v>
      </c>
      <c r="AF193" s="20" t="str">
        <f t="shared" si="46"/>
        <v/>
      </c>
      <c r="AG193" s="20" t="str">
        <f t="shared" si="47"/>
        <v>Fill reimbursement % for this LE (see column C)</v>
      </c>
      <c r="AH193" s="20" t="str">
        <f t="shared" si="48"/>
        <v>This route has no eligible riders (see columns L:O)</v>
      </c>
      <c r="AI193" s="20" t="str">
        <f t="shared" si="49"/>
        <v>Fill miles per day (see column D)</v>
      </c>
      <c r="AJ193" s="20" t="str">
        <f t="shared" si="54"/>
        <v>Fill number of operating days (see column F)</v>
      </c>
      <c r="AK193" s="20" t="str">
        <f t="shared" si="55"/>
        <v>Fill Non-Bus Miles with Y or N (See column E)</v>
      </c>
      <c r="AL193" s="98" t="s">
        <v>422</v>
      </c>
      <c r="AM193" s="20" t="str">
        <f t="shared" si="56"/>
        <v/>
      </c>
    </row>
    <row r="194" spans="1:39" x14ac:dyDescent="0.75">
      <c r="A194" s="1" t="s">
        <v>279</v>
      </c>
      <c r="B194" s="130"/>
      <c r="C194" s="33"/>
      <c r="D194" s="41"/>
      <c r="E194" s="48"/>
      <c r="F194" s="45"/>
      <c r="G194" s="32"/>
      <c r="H194" s="16" t="s">
        <v>50</v>
      </c>
      <c r="I194" s="126"/>
      <c r="J194" s="32"/>
      <c r="K194" s="16" t="str">
        <f t="shared" si="40"/>
        <v/>
      </c>
      <c r="L194" s="37"/>
      <c r="M194" s="37"/>
      <c r="N194" s="37"/>
      <c r="O194" s="37"/>
      <c r="P194" s="16" t="str">
        <f t="shared" si="50"/>
        <v/>
      </c>
      <c r="Q194" s="37"/>
      <c r="R194" s="37"/>
      <c r="S194" s="37"/>
      <c r="T194" s="37"/>
      <c r="U194" s="16">
        <f t="shared" si="41"/>
        <v>0</v>
      </c>
      <c r="V194" s="16" t="str">
        <f t="shared" si="42"/>
        <v/>
      </c>
      <c r="W194" s="16" t="str">
        <f>IF(E194="Y",PAR!$C$12,IF(J194="","",IF(J194&lt;11,PAR!$C$6,IF(J194&lt;50,PAR!$C$7,IF(J194&lt;60,PAR!$C$8,IF(J194&lt;70,PAR!$C$9,IF(J194&lt;80,PAR!$C$10,IF(J194&gt;79,PAR!$C$11,0))))))))</f>
        <v/>
      </c>
      <c r="X194" s="16" t="str">
        <f t="shared" si="43"/>
        <v/>
      </c>
      <c r="Y194" s="22" t="str">
        <f t="shared" si="44"/>
        <v/>
      </c>
      <c r="Z194" s="100" t="str">
        <f>IF(IFERROR(IF(E194="Y",(W194*(X194-PAR!$C$15)*Y194)*C194,IF(AA194&lt;&gt;"","See Comment",IFERROR(W194*X194*Y194*C194,"Fill all blue cells"))),"Fill all blue cells")&lt;0,0,(IFERROR(IF(E194="Y",(W194*(X194-PAR!$C$15)*Y194)*C194,IF(AA194&lt;&gt;"","See Comment",IFERROR(W194*X194*Y194*C194,"Fill all blue cells"))),"Fill all blue cells")))</f>
        <v>See Comment</v>
      </c>
      <c r="AA194"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4" s="116" t="str">
        <f t="shared" si="52"/>
        <v/>
      </c>
      <c r="AC194" s="20" t="str">
        <f>IF(AND(E194="Y",D194&lt;PAR!C195),"Non bus miles are less than the minumum of 10 (see column D)",IF(AND(E194="Y",F194&lt;&gt;""),"Non Bus Miles",""))</f>
        <v/>
      </c>
      <c r="AD194" s="20" t="str">
        <f t="shared" si="53"/>
        <v/>
      </c>
      <c r="AE194" s="20" t="str">
        <f t="shared" si="45"/>
        <v>Fill Rated Capacity (see column J),</v>
      </c>
      <c r="AF194" s="20" t="str">
        <f t="shared" si="46"/>
        <v/>
      </c>
      <c r="AG194" s="20" t="str">
        <f t="shared" si="47"/>
        <v>Fill reimbursement % for this LE (see column C)</v>
      </c>
      <c r="AH194" s="20" t="str">
        <f t="shared" si="48"/>
        <v>This route has no eligible riders (see columns L:O)</v>
      </c>
      <c r="AI194" s="20" t="str">
        <f t="shared" si="49"/>
        <v>Fill miles per day (see column D)</v>
      </c>
      <c r="AJ194" s="20" t="str">
        <f t="shared" si="54"/>
        <v>Fill number of operating days (see column F)</v>
      </c>
      <c r="AK194" s="20" t="str">
        <f t="shared" si="55"/>
        <v>Fill Non-Bus Miles with Y or N (See column E)</v>
      </c>
      <c r="AL194" s="98" t="s">
        <v>422</v>
      </c>
      <c r="AM194" s="20" t="str">
        <f t="shared" si="56"/>
        <v/>
      </c>
    </row>
    <row r="195" spans="1:39" x14ac:dyDescent="0.75">
      <c r="A195" s="1" t="s">
        <v>280</v>
      </c>
      <c r="B195" s="130"/>
      <c r="C195" s="36"/>
      <c r="D195" s="42"/>
      <c r="E195" s="47"/>
      <c r="F195" s="44"/>
      <c r="G195" s="35"/>
      <c r="H195" s="18" t="s">
        <v>50</v>
      </c>
      <c r="I195" s="125"/>
      <c r="J195" s="35"/>
      <c r="K195" s="18" t="str">
        <f t="shared" si="40"/>
        <v/>
      </c>
      <c r="L195" s="38"/>
      <c r="M195" s="38"/>
      <c r="N195" s="38"/>
      <c r="O195" s="38"/>
      <c r="P195" s="18" t="str">
        <f t="shared" si="50"/>
        <v/>
      </c>
      <c r="Q195" s="38"/>
      <c r="R195" s="38"/>
      <c r="S195" s="38"/>
      <c r="T195" s="38"/>
      <c r="U195" s="18">
        <f t="shared" si="41"/>
        <v>0</v>
      </c>
      <c r="V195" s="18" t="str">
        <f t="shared" si="42"/>
        <v/>
      </c>
      <c r="W195" s="18" t="str">
        <f>IF(E195="Y",PAR!$C$12,IF(J195="","",IF(J195&lt;11,PAR!$C$6,IF(J195&lt;50,PAR!$C$7,IF(J195&lt;60,PAR!$C$8,IF(J195&lt;70,PAR!$C$9,IF(J195&lt;80,PAR!$C$10,IF(J195&gt;79,PAR!$C$11,0))))))))</f>
        <v/>
      </c>
      <c r="X195" s="18" t="str">
        <f t="shared" si="43"/>
        <v/>
      </c>
      <c r="Y195" s="21" t="str">
        <f t="shared" si="44"/>
        <v/>
      </c>
      <c r="Z195" s="100" t="str">
        <f>IF(IFERROR(IF(E195="Y",(W195*(X195-PAR!$C$15)*Y195)*C195,IF(AA195&lt;&gt;"","See Comment",IFERROR(W195*X195*Y195*C195,"Fill all blue cells"))),"Fill all blue cells")&lt;0,0,(IFERROR(IF(E195="Y",(W195*(X195-PAR!$C$15)*Y195)*C195,IF(AA195&lt;&gt;"","See Comment",IFERROR(W195*X195*Y195*C195,"Fill all blue cells"))),"Fill all blue cells")))</f>
        <v>See Comment</v>
      </c>
      <c r="AA195"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5" s="116" t="str">
        <f t="shared" si="52"/>
        <v/>
      </c>
      <c r="AC195" s="20" t="str">
        <f>IF(AND(E195="Y",D195&lt;PAR!C196),"Non bus miles are less than the minumum of 10 (see column D)",IF(AND(E195="Y",F195&lt;&gt;""),"Non Bus Miles",""))</f>
        <v/>
      </c>
      <c r="AD195" s="20" t="str">
        <f t="shared" si="53"/>
        <v/>
      </c>
      <c r="AE195" s="20" t="str">
        <f t="shared" si="45"/>
        <v>Fill Rated Capacity (see column J),</v>
      </c>
      <c r="AF195" s="20" t="str">
        <f t="shared" si="46"/>
        <v/>
      </c>
      <c r="AG195" s="20" t="str">
        <f t="shared" si="47"/>
        <v>Fill reimbursement % for this LE (see column C)</v>
      </c>
      <c r="AH195" s="20" t="str">
        <f t="shared" si="48"/>
        <v>This route has no eligible riders (see columns L:O)</v>
      </c>
      <c r="AI195" s="20" t="str">
        <f t="shared" si="49"/>
        <v>Fill miles per day (see column D)</v>
      </c>
      <c r="AJ195" s="20" t="str">
        <f t="shared" si="54"/>
        <v>Fill number of operating days (see column F)</v>
      </c>
      <c r="AK195" s="20" t="str">
        <f t="shared" si="55"/>
        <v>Fill Non-Bus Miles with Y or N (See column E)</v>
      </c>
      <c r="AL195" s="98" t="s">
        <v>422</v>
      </c>
      <c r="AM195" s="20" t="str">
        <f t="shared" si="56"/>
        <v/>
      </c>
    </row>
    <row r="196" spans="1:39" x14ac:dyDescent="0.75">
      <c r="A196" s="1" t="s">
        <v>281</v>
      </c>
      <c r="B196" s="130"/>
      <c r="C196" s="33"/>
      <c r="D196" s="41"/>
      <c r="E196" s="48"/>
      <c r="F196" s="45"/>
      <c r="G196" s="32"/>
      <c r="H196" s="16" t="s">
        <v>50</v>
      </c>
      <c r="I196" s="126"/>
      <c r="J196" s="32"/>
      <c r="K196" s="16" t="str">
        <f t="shared" si="40"/>
        <v/>
      </c>
      <c r="L196" s="37"/>
      <c r="M196" s="37"/>
      <c r="N196" s="37"/>
      <c r="O196" s="37"/>
      <c r="P196" s="16" t="str">
        <f t="shared" si="50"/>
        <v/>
      </c>
      <c r="Q196" s="37"/>
      <c r="R196" s="37"/>
      <c r="S196" s="37"/>
      <c r="T196" s="37"/>
      <c r="U196" s="16">
        <f t="shared" si="41"/>
        <v>0</v>
      </c>
      <c r="V196" s="16" t="str">
        <f t="shared" si="42"/>
        <v/>
      </c>
      <c r="W196" s="16" t="str">
        <f>IF(E196="Y",PAR!$C$12,IF(J196="","",IF(J196&lt;11,PAR!$C$6,IF(J196&lt;50,PAR!$C$7,IF(J196&lt;60,PAR!$C$8,IF(J196&lt;70,PAR!$C$9,IF(J196&lt;80,PAR!$C$10,IF(J196&gt;79,PAR!$C$11,0))))))))</f>
        <v/>
      </c>
      <c r="X196" s="16" t="str">
        <f t="shared" si="43"/>
        <v/>
      </c>
      <c r="Y196" s="22" t="str">
        <f t="shared" si="44"/>
        <v/>
      </c>
      <c r="Z196" s="100" t="str">
        <f>IF(IFERROR(IF(E196="Y",(W196*(X196-PAR!$C$15)*Y196)*C196,IF(AA196&lt;&gt;"","See Comment",IFERROR(W196*X196*Y196*C196,"Fill all blue cells"))),"Fill all blue cells")&lt;0,0,(IFERROR(IF(E196="Y",(W196*(X196-PAR!$C$15)*Y196)*C196,IF(AA196&lt;&gt;"","See Comment",IFERROR(W196*X196*Y196*C196,"Fill all blue cells"))),"Fill all blue cells")))</f>
        <v>See Comment</v>
      </c>
      <c r="AA196"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6" s="116" t="str">
        <f t="shared" si="52"/>
        <v/>
      </c>
      <c r="AC196" s="20" t="str">
        <f>IF(AND(E196="Y",D196&lt;PAR!C197),"Non bus miles are less than the minumum of 10 (see column D)",IF(AND(E196="Y",F196&lt;&gt;""),"Non Bus Miles",""))</f>
        <v/>
      </c>
      <c r="AD196" s="20" t="str">
        <f t="shared" si="53"/>
        <v/>
      </c>
      <c r="AE196" s="20" t="str">
        <f t="shared" si="45"/>
        <v>Fill Rated Capacity (see column J),</v>
      </c>
      <c r="AF196" s="20" t="str">
        <f t="shared" si="46"/>
        <v/>
      </c>
      <c r="AG196" s="20" t="str">
        <f t="shared" si="47"/>
        <v>Fill reimbursement % for this LE (see column C)</v>
      </c>
      <c r="AH196" s="20" t="str">
        <f t="shared" si="48"/>
        <v>This route has no eligible riders (see columns L:O)</v>
      </c>
      <c r="AI196" s="20" t="str">
        <f t="shared" si="49"/>
        <v>Fill miles per day (see column D)</v>
      </c>
      <c r="AJ196" s="20" t="str">
        <f t="shared" si="54"/>
        <v>Fill number of operating days (see column F)</v>
      </c>
      <c r="AK196" s="20" t="str">
        <f t="shared" si="55"/>
        <v>Fill Non-Bus Miles with Y or N (See column E)</v>
      </c>
      <c r="AL196" s="98" t="s">
        <v>422</v>
      </c>
      <c r="AM196" s="20" t="str">
        <f t="shared" si="56"/>
        <v/>
      </c>
    </row>
    <row r="197" spans="1:39" x14ac:dyDescent="0.75">
      <c r="A197" s="1" t="s">
        <v>282</v>
      </c>
      <c r="B197" s="130"/>
      <c r="C197" s="36"/>
      <c r="D197" s="42"/>
      <c r="E197" s="47"/>
      <c r="F197" s="44"/>
      <c r="G197" s="35"/>
      <c r="H197" s="18" t="s">
        <v>50</v>
      </c>
      <c r="I197" s="125"/>
      <c r="J197" s="35"/>
      <c r="K197" s="18" t="str">
        <f t="shared" si="40"/>
        <v/>
      </c>
      <c r="L197" s="38"/>
      <c r="M197" s="38"/>
      <c r="N197" s="38"/>
      <c r="O197" s="38"/>
      <c r="P197" s="18" t="str">
        <f t="shared" si="50"/>
        <v/>
      </c>
      <c r="Q197" s="38"/>
      <c r="R197" s="38"/>
      <c r="S197" s="38"/>
      <c r="T197" s="38"/>
      <c r="U197" s="18">
        <f t="shared" si="41"/>
        <v>0</v>
      </c>
      <c r="V197" s="18" t="str">
        <f t="shared" si="42"/>
        <v/>
      </c>
      <c r="W197" s="18" t="str">
        <f>IF(E197="Y",PAR!$C$12,IF(J197="","",IF(J197&lt;11,PAR!$C$6,IF(J197&lt;50,PAR!$C$7,IF(J197&lt;60,PAR!$C$8,IF(J197&lt;70,PAR!$C$9,IF(J197&lt;80,PAR!$C$10,IF(J197&gt;79,PAR!$C$11,0))))))))</f>
        <v/>
      </c>
      <c r="X197" s="18" t="str">
        <f t="shared" si="43"/>
        <v/>
      </c>
      <c r="Y197" s="21" t="str">
        <f t="shared" si="44"/>
        <v/>
      </c>
      <c r="Z197" s="100" t="str">
        <f>IF(IFERROR(IF(E197="Y",(W197*(X197-PAR!$C$15)*Y197)*C197,IF(AA197&lt;&gt;"","See Comment",IFERROR(W197*X197*Y197*C197,"Fill all blue cells"))),"Fill all blue cells")&lt;0,0,(IFERROR(IF(E197="Y",(W197*(X197-PAR!$C$15)*Y197)*C197,IF(AA197&lt;&gt;"","See Comment",IFERROR(W197*X197*Y197*C197,"Fill all blue cells"))),"Fill all blue cells")))</f>
        <v>See Comment</v>
      </c>
      <c r="AA197"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7" s="116" t="str">
        <f t="shared" si="52"/>
        <v/>
      </c>
      <c r="AC197" s="20" t="str">
        <f>IF(AND(E197="Y",D197&lt;PAR!C198),"Non bus miles are less than the minumum of 10 (see column D)",IF(AND(E197="Y",F197&lt;&gt;""),"Non Bus Miles",""))</f>
        <v/>
      </c>
      <c r="AD197" s="20" t="str">
        <f t="shared" si="53"/>
        <v/>
      </c>
      <c r="AE197" s="20" t="str">
        <f t="shared" si="45"/>
        <v>Fill Rated Capacity (see column J),</v>
      </c>
      <c r="AF197" s="20" t="str">
        <f t="shared" si="46"/>
        <v/>
      </c>
      <c r="AG197" s="20" t="str">
        <f t="shared" si="47"/>
        <v>Fill reimbursement % for this LE (see column C)</v>
      </c>
      <c r="AH197" s="20" t="str">
        <f t="shared" si="48"/>
        <v>This route has no eligible riders (see columns L:O)</v>
      </c>
      <c r="AI197" s="20" t="str">
        <f t="shared" si="49"/>
        <v>Fill miles per day (see column D)</v>
      </c>
      <c r="AJ197" s="20" t="str">
        <f t="shared" si="54"/>
        <v>Fill number of operating days (see column F)</v>
      </c>
      <c r="AK197" s="20" t="str">
        <f t="shared" si="55"/>
        <v>Fill Non-Bus Miles with Y or N (See column E)</v>
      </c>
      <c r="AL197" s="98" t="s">
        <v>422</v>
      </c>
      <c r="AM197" s="20" t="str">
        <f t="shared" si="56"/>
        <v/>
      </c>
    </row>
    <row r="198" spans="1:39" x14ac:dyDescent="0.75">
      <c r="A198" s="1" t="s">
        <v>283</v>
      </c>
      <c r="B198" s="130"/>
      <c r="C198" s="33"/>
      <c r="D198" s="41"/>
      <c r="E198" s="48"/>
      <c r="F198" s="45"/>
      <c r="G198" s="32"/>
      <c r="H198" s="16" t="s">
        <v>50</v>
      </c>
      <c r="I198" s="126"/>
      <c r="J198" s="32"/>
      <c r="K198" s="16" t="str">
        <f t="shared" si="40"/>
        <v/>
      </c>
      <c r="L198" s="37"/>
      <c r="M198" s="37"/>
      <c r="N198" s="37"/>
      <c r="O198" s="37"/>
      <c r="P198" s="16" t="str">
        <f t="shared" si="50"/>
        <v/>
      </c>
      <c r="Q198" s="37"/>
      <c r="R198" s="37"/>
      <c r="S198" s="37"/>
      <c r="T198" s="37"/>
      <c r="U198" s="16">
        <f t="shared" si="41"/>
        <v>0</v>
      </c>
      <c r="V198" s="16" t="str">
        <f t="shared" si="42"/>
        <v/>
      </c>
      <c r="W198" s="16" t="str">
        <f>IF(E198="Y",PAR!$C$12,IF(J198="","",IF(J198&lt;11,PAR!$C$6,IF(J198&lt;50,PAR!$C$7,IF(J198&lt;60,PAR!$C$8,IF(J198&lt;70,PAR!$C$9,IF(J198&lt;80,PAR!$C$10,IF(J198&gt;79,PAR!$C$11,0))))))))</f>
        <v/>
      </c>
      <c r="X198" s="16" t="str">
        <f t="shared" si="43"/>
        <v/>
      </c>
      <c r="Y198" s="22" t="str">
        <f t="shared" si="44"/>
        <v/>
      </c>
      <c r="Z198" s="100" t="str">
        <f>IF(IFERROR(IF(E198="Y",(W198*(X198-PAR!$C$15)*Y198)*C198,IF(AA198&lt;&gt;"","See Comment",IFERROR(W198*X198*Y198*C198,"Fill all blue cells"))),"Fill all blue cells")&lt;0,0,(IFERROR(IF(E198="Y",(W198*(X198-PAR!$C$15)*Y198)*C198,IF(AA198&lt;&gt;"","See Comment",IFERROR(W198*X198*Y198*C198,"Fill all blue cells"))),"Fill all blue cells")))</f>
        <v>See Comment</v>
      </c>
      <c r="AA198"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8" s="116" t="str">
        <f t="shared" si="52"/>
        <v/>
      </c>
      <c r="AC198" s="20" t="str">
        <f>IF(AND(E198="Y",D198&lt;PAR!C199),"Non bus miles are less than the minumum of 10 (see column D)",IF(AND(E198="Y",F198&lt;&gt;""),"Non Bus Miles",""))</f>
        <v/>
      </c>
      <c r="AD198" s="20" t="str">
        <f t="shared" si="53"/>
        <v/>
      </c>
      <c r="AE198" s="20" t="str">
        <f t="shared" si="45"/>
        <v>Fill Rated Capacity (see column J),</v>
      </c>
      <c r="AF198" s="20" t="str">
        <f t="shared" si="46"/>
        <v/>
      </c>
      <c r="AG198" s="20" t="str">
        <f t="shared" si="47"/>
        <v>Fill reimbursement % for this LE (see column C)</v>
      </c>
      <c r="AH198" s="20" t="str">
        <f t="shared" si="48"/>
        <v>This route has no eligible riders (see columns L:O)</v>
      </c>
      <c r="AI198" s="20" t="str">
        <f t="shared" si="49"/>
        <v>Fill miles per day (see column D)</v>
      </c>
      <c r="AJ198" s="20" t="str">
        <f t="shared" si="54"/>
        <v>Fill number of operating days (see column F)</v>
      </c>
      <c r="AK198" s="20" t="str">
        <f t="shared" si="55"/>
        <v>Fill Non-Bus Miles with Y or N (See column E)</v>
      </c>
      <c r="AL198" s="98" t="s">
        <v>422</v>
      </c>
      <c r="AM198" s="20" t="str">
        <f t="shared" si="56"/>
        <v/>
      </c>
    </row>
    <row r="199" spans="1:39" x14ac:dyDescent="0.75">
      <c r="A199" s="1" t="s">
        <v>284</v>
      </c>
      <c r="B199" s="130"/>
      <c r="C199" s="36"/>
      <c r="D199" s="42"/>
      <c r="E199" s="47"/>
      <c r="F199" s="44"/>
      <c r="G199" s="35"/>
      <c r="H199" s="18" t="s">
        <v>50</v>
      </c>
      <c r="I199" s="125"/>
      <c r="J199" s="35"/>
      <c r="K199" s="18" t="str">
        <f t="shared" si="40"/>
        <v/>
      </c>
      <c r="L199" s="38"/>
      <c r="M199" s="38"/>
      <c r="N199" s="38"/>
      <c r="O199" s="38"/>
      <c r="P199" s="18" t="str">
        <f t="shared" si="50"/>
        <v/>
      </c>
      <c r="Q199" s="38"/>
      <c r="R199" s="38"/>
      <c r="S199" s="38"/>
      <c r="T199" s="38"/>
      <c r="U199" s="18">
        <f t="shared" si="41"/>
        <v>0</v>
      </c>
      <c r="V199" s="18" t="str">
        <f t="shared" si="42"/>
        <v/>
      </c>
      <c r="W199" s="18" t="str">
        <f>IF(E199="Y",PAR!$C$12,IF(J199="","",IF(J199&lt;11,PAR!$C$6,IF(J199&lt;50,PAR!$C$7,IF(J199&lt;60,PAR!$C$8,IF(J199&lt;70,PAR!$C$9,IF(J199&lt;80,PAR!$C$10,IF(J199&gt;79,PAR!$C$11,0))))))))</f>
        <v/>
      </c>
      <c r="X199" s="18" t="str">
        <f t="shared" si="43"/>
        <v/>
      </c>
      <c r="Y199" s="21" t="str">
        <f t="shared" si="44"/>
        <v/>
      </c>
      <c r="Z199" s="100" t="str">
        <f>IF(IFERROR(IF(E199="Y",(W199*(X199-PAR!$C$15)*Y199)*C199,IF(AA199&lt;&gt;"","See Comment",IFERROR(W199*X199*Y199*C199,"Fill all blue cells"))),"Fill all blue cells")&lt;0,0,(IFERROR(IF(E199="Y",(W199*(X199-PAR!$C$15)*Y199)*C199,IF(AA199&lt;&gt;"","See Comment",IFERROR(W199*X199*Y199*C199,"Fill all blue cells"))),"Fill all blue cells")))</f>
        <v>See Comment</v>
      </c>
      <c r="AA199"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9" s="116" t="str">
        <f t="shared" si="52"/>
        <v/>
      </c>
      <c r="AC199" s="20" t="str">
        <f>IF(AND(E199="Y",D199&lt;PAR!C200),"Non bus miles are less than the minumum of 10 (see column D)",IF(AND(E199="Y",F199&lt;&gt;""),"Non Bus Miles",""))</f>
        <v/>
      </c>
      <c r="AD199" s="20" t="str">
        <f t="shared" si="53"/>
        <v/>
      </c>
      <c r="AE199" s="20" t="str">
        <f t="shared" si="45"/>
        <v>Fill Rated Capacity (see column J),</v>
      </c>
      <c r="AF199" s="20" t="str">
        <f t="shared" si="46"/>
        <v/>
      </c>
      <c r="AG199" s="20" t="str">
        <f t="shared" si="47"/>
        <v>Fill reimbursement % for this LE (see column C)</v>
      </c>
      <c r="AH199" s="20" t="str">
        <f t="shared" si="48"/>
        <v>This route has no eligible riders (see columns L:O)</v>
      </c>
      <c r="AI199" s="20" t="str">
        <f t="shared" si="49"/>
        <v>Fill miles per day (see column D)</v>
      </c>
      <c r="AJ199" s="20" t="str">
        <f t="shared" si="54"/>
        <v>Fill number of operating days (see column F)</v>
      </c>
      <c r="AK199" s="20" t="str">
        <f t="shared" si="55"/>
        <v>Fill Non-Bus Miles with Y or N (See column E)</v>
      </c>
      <c r="AL199" s="98" t="s">
        <v>422</v>
      </c>
      <c r="AM199" s="20" t="str">
        <f t="shared" si="56"/>
        <v/>
      </c>
    </row>
    <row r="200" spans="1:39" x14ac:dyDescent="0.75">
      <c r="A200" s="1" t="s">
        <v>285</v>
      </c>
      <c r="B200" s="130"/>
      <c r="C200" s="33"/>
      <c r="D200" s="41"/>
      <c r="E200" s="48"/>
      <c r="F200" s="45"/>
      <c r="G200" s="32"/>
      <c r="H200" s="16" t="s">
        <v>50</v>
      </c>
      <c r="I200" s="126"/>
      <c r="J200" s="32"/>
      <c r="K200" s="16" t="str">
        <f t="shared" si="40"/>
        <v/>
      </c>
      <c r="L200" s="37"/>
      <c r="M200" s="37"/>
      <c r="N200" s="37"/>
      <c r="O200" s="37"/>
      <c r="P200" s="16" t="str">
        <f t="shared" si="50"/>
        <v/>
      </c>
      <c r="Q200" s="37"/>
      <c r="R200" s="37"/>
      <c r="S200" s="37"/>
      <c r="T200" s="37"/>
      <c r="U200" s="16">
        <f t="shared" si="41"/>
        <v>0</v>
      </c>
      <c r="V200" s="16" t="str">
        <f t="shared" si="42"/>
        <v/>
      </c>
      <c r="W200" s="16" t="str">
        <f>IF(E200="Y",PAR!$C$12,IF(J200="","",IF(J200&lt;11,PAR!$C$6,IF(J200&lt;50,PAR!$C$7,IF(J200&lt;60,PAR!$C$8,IF(J200&lt;70,PAR!$C$9,IF(J200&lt;80,PAR!$C$10,IF(J200&gt;79,PAR!$C$11,0))))))))</f>
        <v/>
      </c>
      <c r="X200" s="16" t="str">
        <f t="shared" si="43"/>
        <v/>
      </c>
      <c r="Y200" s="22" t="str">
        <f t="shared" si="44"/>
        <v/>
      </c>
      <c r="Z200" s="100" t="str">
        <f>IF(IFERROR(IF(E200="Y",(W200*(X200-PAR!$C$15)*Y200)*C200,IF(AA200&lt;&gt;"","See Comment",IFERROR(W200*X200*Y200*C200,"Fill all blue cells"))),"Fill all blue cells")&lt;0,0,(IFERROR(IF(E200="Y",(W200*(X200-PAR!$C$15)*Y200)*C200,IF(AA200&lt;&gt;"","See Comment",IFERROR(W200*X200*Y200*C200,"Fill all blue cells"))),"Fill all blue cells")))</f>
        <v>See Comment</v>
      </c>
      <c r="AA200"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0" s="116" t="str">
        <f t="shared" si="52"/>
        <v/>
      </c>
      <c r="AC200" s="20" t="str">
        <f>IF(AND(E200="Y",D200&lt;PAR!C201),"Non bus miles are less than the minumum of 10 (see column D)",IF(AND(E200="Y",F200&lt;&gt;""),"Non Bus Miles",""))</f>
        <v/>
      </c>
      <c r="AD200" s="20" t="str">
        <f t="shared" si="53"/>
        <v/>
      </c>
      <c r="AE200" s="20" t="str">
        <f t="shared" si="45"/>
        <v>Fill Rated Capacity (see column J),</v>
      </c>
      <c r="AF200" s="20" t="str">
        <f t="shared" si="46"/>
        <v/>
      </c>
      <c r="AG200" s="20" t="str">
        <f t="shared" si="47"/>
        <v>Fill reimbursement % for this LE (see column C)</v>
      </c>
      <c r="AH200" s="20" t="str">
        <f t="shared" si="48"/>
        <v>This route has no eligible riders (see columns L:O)</v>
      </c>
      <c r="AI200" s="20" t="str">
        <f t="shared" si="49"/>
        <v>Fill miles per day (see column D)</v>
      </c>
      <c r="AJ200" s="20" t="str">
        <f t="shared" si="54"/>
        <v>Fill number of operating days (see column F)</v>
      </c>
      <c r="AK200" s="20" t="str">
        <f t="shared" si="55"/>
        <v>Fill Non-Bus Miles with Y or N (See column E)</v>
      </c>
      <c r="AL200" s="98" t="s">
        <v>422</v>
      </c>
      <c r="AM200" s="20" t="str">
        <f t="shared" si="56"/>
        <v/>
      </c>
    </row>
    <row r="201" spans="1:39" x14ac:dyDescent="0.75">
      <c r="A201" s="1" t="s">
        <v>286</v>
      </c>
      <c r="B201" s="130"/>
      <c r="C201" s="36"/>
      <c r="D201" s="42"/>
      <c r="E201" s="47"/>
      <c r="F201" s="44"/>
      <c r="G201" s="35"/>
      <c r="H201" s="18" t="s">
        <v>50</v>
      </c>
      <c r="I201" s="125"/>
      <c r="J201" s="35"/>
      <c r="K201" s="18" t="str">
        <f t="shared" si="40"/>
        <v/>
      </c>
      <c r="L201" s="38"/>
      <c r="M201" s="38"/>
      <c r="N201" s="38"/>
      <c r="O201" s="38"/>
      <c r="P201" s="18" t="str">
        <f t="shared" si="50"/>
        <v/>
      </c>
      <c r="Q201" s="38"/>
      <c r="R201" s="38"/>
      <c r="S201" s="38"/>
      <c r="T201" s="38"/>
      <c r="U201" s="18">
        <f t="shared" si="41"/>
        <v>0</v>
      </c>
      <c r="V201" s="18" t="str">
        <f t="shared" si="42"/>
        <v/>
      </c>
      <c r="W201" s="18" t="str">
        <f>IF(E201="Y",PAR!$C$12,IF(J201="","",IF(J201&lt;11,PAR!$C$6,IF(J201&lt;50,PAR!$C$7,IF(J201&lt;60,PAR!$C$8,IF(J201&lt;70,PAR!$C$9,IF(J201&lt;80,PAR!$C$10,IF(J201&gt;79,PAR!$C$11,0))))))))</f>
        <v/>
      </c>
      <c r="X201" s="18" t="str">
        <f t="shared" si="43"/>
        <v/>
      </c>
      <c r="Y201" s="21" t="str">
        <f t="shared" si="44"/>
        <v/>
      </c>
      <c r="Z201" s="100" t="str">
        <f>IF(IFERROR(IF(E201="Y",(W201*(X201-PAR!$C$15)*Y201)*C201,IF(AA201&lt;&gt;"","See Comment",IFERROR(W201*X201*Y201*C201,"Fill all blue cells"))),"Fill all blue cells")&lt;0,0,(IFERROR(IF(E201="Y",(W201*(X201-PAR!$C$15)*Y201)*C201,IF(AA201&lt;&gt;"","See Comment",IFERROR(W201*X201*Y201*C201,"Fill all blue cells"))),"Fill all blue cells")))</f>
        <v>See Comment</v>
      </c>
      <c r="AA201"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1" s="116" t="str">
        <f t="shared" si="52"/>
        <v/>
      </c>
      <c r="AC201" s="20" t="str">
        <f>IF(AND(E201="Y",D201&lt;PAR!C202),"Non bus miles are less than the minumum of 10 (see column D)",IF(AND(E201="Y",F201&lt;&gt;""),"Non Bus Miles",""))</f>
        <v/>
      </c>
      <c r="AD201" s="20" t="str">
        <f t="shared" si="53"/>
        <v/>
      </c>
      <c r="AE201" s="20" t="str">
        <f t="shared" si="45"/>
        <v>Fill Rated Capacity (see column J),</v>
      </c>
      <c r="AF201" s="20" t="str">
        <f t="shared" si="46"/>
        <v/>
      </c>
      <c r="AG201" s="20" t="str">
        <f t="shared" si="47"/>
        <v>Fill reimbursement % for this LE (see column C)</v>
      </c>
      <c r="AH201" s="20" t="str">
        <f t="shared" si="48"/>
        <v>This route has no eligible riders (see columns L:O)</v>
      </c>
      <c r="AI201" s="20" t="str">
        <f t="shared" si="49"/>
        <v>Fill miles per day (see column D)</v>
      </c>
      <c r="AJ201" s="20" t="str">
        <f t="shared" si="54"/>
        <v>Fill number of operating days (see column F)</v>
      </c>
      <c r="AK201" s="20" t="str">
        <f t="shared" si="55"/>
        <v>Fill Non-Bus Miles with Y or N (See column E)</v>
      </c>
      <c r="AL201" s="98" t="s">
        <v>422</v>
      </c>
      <c r="AM201" s="20" t="str">
        <f t="shared" si="56"/>
        <v/>
      </c>
    </row>
    <row r="202" spans="1:39" x14ac:dyDescent="0.75">
      <c r="A202" s="1" t="s">
        <v>287</v>
      </c>
      <c r="B202" s="130"/>
      <c r="C202" s="33"/>
      <c r="D202" s="41"/>
      <c r="E202" s="48"/>
      <c r="F202" s="45"/>
      <c r="G202" s="32"/>
      <c r="H202" s="16" t="s">
        <v>50</v>
      </c>
      <c r="I202" s="126"/>
      <c r="J202" s="32"/>
      <c r="K202" s="16" t="str">
        <f t="shared" si="40"/>
        <v/>
      </c>
      <c r="L202" s="37"/>
      <c r="M202" s="37"/>
      <c r="N202" s="37"/>
      <c r="O202" s="37"/>
      <c r="P202" s="16" t="str">
        <f t="shared" si="50"/>
        <v/>
      </c>
      <c r="Q202" s="37"/>
      <c r="R202" s="37"/>
      <c r="S202" s="37"/>
      <c r="T202" s="37"/>
      <c r="U202" s="16">
        <f t="shared" si="41"/>
        <v>0</v>
      </c>
      <c r="V202" s="16" t="str">
        <f t="shared" si="42"/>
        <v/>
      </c>
      <c r="W202" s="16" t="str">
        <f>IF(E202="Y",PAR!$C$12,IF(J202="","",IF(J202&lt;11,PAR!$C$6,IF(J202&lt;50,PAR!$C$7,IF(J202&lt;60,PAR!$C$8,IF(J202&lt;70,PAR!$C$9,IF(J202&lt;80,PAR!$C$10,IF(J202&gt;79,PAR!$C$11,0))))))))</f>
        <v/>
      </c>
      <c r="X202" s="16" t="str">
        <f t="shared" si="43"/>
        <v/>
      </c>
      <c r="Y202" s="22" t="str">
        <f t="shared" si="44"/>
        <v/>
      </c>
      <c r="Z202" s="100" t="str">
        <f>IF(IFERROR(IF(E202="Y",(W202*(X202-PAR!$C$15)*Y202)*C202,IF(AA202&lt;&gt;"","See Comment",IFERROR(W202*X202*Y202*C202,"Fill all blue cells"))),"Fill all blue cells")&lt;0,0,(IFERROR(IF(E202="Y",(W202*(X202-PAR!$C$15)*Y202)*C202,IF(AA202&lt;&gt;"","See Comment",IFERROR(W202*X202*Y202*C202,"Fill all blue cells"))),"Fill all blue cells")))</f>
        <v>See Comment</v>
      </c>
      <c r="AA202"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2" s="116" t="str">
        <f t="shared" si="52"/>
        <v/>
      </c>
      <c r="AC202" s="20" t="str">
        <f>IF(AND(E202="Y",D202&lt;PAR!C203),"Non bus miles are less than the minumum of 10 (see column D)",IF(AND(E202="Y",F202&lt;&gt;""),"Non Bus Miles",""))</f>
        <v/>
      </c>
      <c r="AD202" s="20" t="str">
        <f t="shared" si="53"/>
        <v/>
      </c>
      <c r="AE202" s="20" t="str">
        <f t="shared" si="45"/>
        <v>Fill Rated Capacity (see column J),</v>
      </c>
      <c r="AF202" s="20" t="str">
        <f t="shared" si="46"/>
        <v/>
      </c>
      <c r="AG202" s="20" t="str">
        <f t="shared" si="47"/>
        <v>Fill reimbursement % for this LE (see column C)</v>
      </c>
      <c r="AH202" s="20" t="str">
        <f t="shared" si="48"/>
        <v>This route has no eligible riders (see columns L:O)</v>
      </c>
      <c r="AI202" s="20" t="str">
        <f t="shared" si="49"/>
        <v>Fill miles per day (see column D)</v>
      </c>
      <c r="AJ202" s="20" t="str">
        <f t="shared" si="54"/>
        <v>Fill number of operating days (see column F)</v>
      </c>
      <c r="AK202" s="20" t="str">
        <f t="shared" si="55"/>
        <v>Fill Non-Bus Miles with Y or N (See column E)</v>
      </c>
      <c r="AL202" s="98" t="s">
        <v>422</v>
      </c>
      <c r="AM202" s="20" t="str">
        <f t="shared" si="56"/>
        <v/>
      </c>
    </row>
    <row r="203" spans="1:39" x14ac:dyDescent="0.75">
      <c r="A203" s="1" t="s">
        <v>288</v>
      </c>
      <c r="B203" s="130"/>
      <c r="C203" s="36"/>
      <c r="D203" s="42"/>
      <c r="E203" s="47"/>
      <c r="F203" s="44"/>
      <c r="G203" s="35"/>
      <c r="H203" s="18" t="s">
        <v>50</v>
      </c>
      <c r="I203" s="125"/>
      <c r="J203" s="35"/>
      <c r="K203" s="18" t="str">
        <f t="shared" si="40"/>
        <v/>
      </c>
      <c r="L203" s="38"/>
      <c r="M203" s="38"/>
      <c r="N203" s="38"/>
      <c r="O203" s="38"/>
      <c r="P203" s="18" t="str">
        <f t="shared" si="50"/>
        <v/>
      </c>
      <c r="Q203" s="38"/>
      <c r="R203" s="38"/>
      <c r="S203" s="38"/>
      <c r="T203" s="38"/>
      <c r="U203" s="18">
        <f t="shared" si="41"/>
        <v>0</v>
      </c>
      <c r="V203" s="18" t="str">
        <f t="shared" si="42"/>
        <v/>
      </c>
      <c r="W203" s="18" t="str">
        <f>IF(E203="Y",PAR!$C$12,IF(J203="","",IF(J203&lt;11,PAR!$C$6,IF(J203&lt;50,PAR!$C$7,IF(J203&lt;60,PAR!$C$8,IF(J203&lt;70,PAR!$C$9,IF(J203&lt;80,PAR!$C$10,IF(J203&gt;79,PAR!$C$11,0))))))))</f>
        <v/>
      </c>
      <c r="X203" s="18" t="str">
        <f t="shared" si="43"/>
        <v/>
      </c>
      <c r="Y203" s="21" t="str">
        <f t="shared" si="44"/>
        <v/>
      </c>
      <c r="Z203" s="100" t="str">
        <f>IF(IFERROR(IF(E203="Y",(W203*(X203-PAR!$C$15)*Y203)*C203,IF(AA203&lt;&gt;"","See Comment",IFERROR(W203*X203*Y203*C203,"Fill all blue cells"))),"Fill all blue cells")&lt;0,0,(IFERROR(IF(E203="Y",(W203*(X203-PAR!$C$15)*Y203)*C203,IF(AA203&lt;&gt;"","See Comment",IFERROR(W203*X203*Y203*C203,"Fill all blue cells"))),"Fill all blue cells")))</f>
        <v>See Comment</v>
      </c>
      <c r="AA203"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3" s="116" t="str">
        <f t="shared" si="52"/>
        <v/>
      </c>
      <c r="AC203" s="20" t="str">
        <f>IF(AND(E203="Y",D203&lt;PAR!C204),"Non bus miles are less than the minumum of 10 (see column D)",IF(AND(E203="Y",F203&lt;&gt;""),"Non Bus Miles",""))</f>
        <v/>
      </c>
      <c r="AD203" s="20" t="str">
        <f t="shared" si="53"/>
        <v/>
      </c>
      <c r="AE203" s="20" t="str">
        <f t="shared" si="45"/>
        <v>Fill Rated Capacity (see column J),</v>
      </c>
      <c r="AF203" s="20" t="str">
        <f t="shared" si="46"/>
        <v/>
      </c>
      <c r="AG203" s="20" t="str">
        <f t="shared" si="47"/>
        <v>Fill reimbursement % for this LE (see column C)</v>
      </c>
      <c r="AH203" s="20" t="str">
        <f t="shared" si="48"/>
        <v>This route has no eligible riders (see columns L:O)</v>
      </c>
      <c r="AI203" s="20" t="str">
        <f t="shared" si="49"/>
        <v>Fill miles per day (see column D)</v>
      </c>
      <c r="AJ203" s="20" t="str">
        <f t="shared" si="54"/>
        <v>Fill number of operating days (see column F)</v>
      </c>
      <c r="AK203" s="20" t="str">
        <f t="shared" si="55"/>
        <v>Fill Non-Bus Miles with Y or N (See column E)</v>
      </c>
      <c r="AL203" s="98" t="s">
        <v>422</v>
      </c>
      <c r="AM203" s="20" t="str">
        <f t="shared" si="56"/>
        <v/>
      </c>
    </row>
    <row r="204" spans="1:39" x14ac:dyDescent="0.75">
      <c r="A204" s="1" t="s">
        <v>289</v>
      </c>
      <c r="B204" s="130"/>
      <c r="C204" s="33"/>
      <c r="D204" s="41"/>
      <c r="E204" s="48"/>
      <c r="F204" s="45"/>
      <c r="G204" s="32"/>
      <c r="H204" s="16" t="s">
        <v>50</v>
      </c>
      <c r="I204" s="126"/>
      <c r="J204" s="32"/>
      <c r="K204" s="16" t="str">
        <f t="shared" si="40"/>
        <v/>
      </c>
      <c r="L204" s="37"/>
      <c r="M204" s="37"/>
      <c r="N204" s="37"/>
      <c r="O204" s="37"/>
      <c r="P204" s="16" t="str">
        <f t="shared" si="50"/>
        <v/>
      </c>
      <c r="Q204" s="37"/>
      <c r="R204" s="37"/>
      <c r="S204" s="37"/>
      <c r="T204" s="37"/>
      <c r="U204" s="16">
        <f t="shared" si="41"/>
        <v>0</v>
      </c>
      <c r="V204" s="16" t="str">
        <f t="shared" si="42"/>
        <v/>
      </c>
      <c r="W204" s="16" t="str">
        <f>IF(E204="Y",PAR!$C$12,IF(J204="","",IF(J204&lt;11,PAR!$C$6,IF(J204&lt;50,PAR!$C$7,IF(J204&lt;60,PAR!$C$8,IF(J204&lt;70,PAR!$C$9,IF(J204&lt;80,PAR!$C$10,IF(J204&gt;79,PAR!$C$11,0))))))))</f>
        <v/>
      </c>
      <c r="X204" s="16" t="str">
        <f t="shared" si="43"/>
        <v/>
      </c>
      <c r="Y204" s="22" t="str">
        <f t="shared" si="44"/>
        <v/>
      </c>
      <c r="Z204" s="100" t="str">
        <f>IF(IFERROR(IF(E204="Y",(W204*(X204-PAR!$C$15)*Y204)*C204,IF(AA204&lt;&gt;"","See Comment",IFERROR(W204*X204*Y204*C204,"Fill all blue cells"))),"Fill all blue cells")&lt;0,0,(IFERROR(IF(E204="Y",(W204*(X204-PAR!$C$15)*Y204)*C204,IF(AA204&lt;&gt;"","See Comment",IFERROR(W204*X204*Y204*C204,"Fill all blue cells"))),"Fill all blue cells")))</f>
        <v>See Comment</v>
      </c>
      <c r="AA204"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4" s="116" t="str">
        <f t="shared" si="52"/>
        <v/>
      </c>
      <c r="AC204" s="20" t="str">
        <f>IF(AND(E204="Y",D204&lt;PAR!C205),"Non bus miles are less than the minumum of 10 (see column D)",IF(AND(E204="Y",F204&lt;&gt;""),"Non Bus Miles",""))</f>
        <v/>
      </c>
      <c r="AD204" s="20" t="str">
        <f t="shared" si="53"/>
        <v/>
      </c>
      <c r="AE204" s="20" t="str">
        <f t="shared" si="45"/>
        <v>Fill Rated Capacity (see column J),</v>
      </c>
      <c r="AF204" s="20" t="str">
        <f t="shared" si="46"/>
        <v/>
      </c>
      <c r="AG204" s="20" t="str">
        <f t="shared" si="47"/>
        <v>Fill reimbursement % for this LE (see column C)</v>
      </c>
      <c r="AH204" s="20" t="str">
        <f t="shared" si="48"/>
        <v>This route has no eligible riders (see columns L:O)</v>
      </c>
      <c r="AI204" s="20" t="str">
        <f t="shared" si="49"/>
        <v>Fill miles per day (see column D)</v>
      </c>
      <c r="AJ204" s="20" t="str">
        <f t="shared" si="54"/>
        <v>Fill number of operating days (see column F)</v>
      </c>
      <c r="AK204" s="20" t="str">
        <f t="shared" si="55"/>
        <v>Fill Non-Bus Miles with Y or N (See column E)</v>
      </c>
      <c r="AL204" s="98" t="s">
        <v>422</v>
      </c>
      <c r="AM204" s="20" t="str">
        <f t="shared" si="56"/>
        <v/>
      </c>
    </row>
    <row r="205" spans="1:39" x14ac:dyDescent="0.75">
      <c r="A205" s="1" t="s">
        <v>290</v>
      </c>
      <c r="B205" s="130"/>
      <c r="C205" s="36"/>
      <c r="D205" s="42"/>
      <c r="E205" s="47"/>
      <c r="F205" s="44"/>
      <c r="G205" s="35"/>
      <c r="H205" s="18" t="s">
        <v>50</v>
      </c>
      <c r="I205" s="125"/>
      <c r="J205" s="35"/>
      <c r="K205" s="18" t="str">
        <f t="shared" si="40"/>
        <v/>
      </c>
      <c r="L205" s="38"/>
      <c r="M205" s="38"/>
      <c r="N205" s="38"/>
      <c r="O205" s="38"/>
      <c r="P205" s="18" t="str">
        <f t="shared" si="50"/>
        <v/>
      </c>
      <c r="Q205" s="38"/>
      <c r="R205" s="38"/>
      <c r="S205" s="38"/>
      <c r="T205" s="38"/>
      <c r="U205" s="18">
        <f t="shared" si="41"/>
        <v>0</v>
      </c>
      <c r="V205" s="18" t="str">
        <f t="shared" si="42"/>
        <v/>
      </c>
      <c r="W205" s="18" t="str">
        <f>IF(E205="Y",PAR!$C$12,IF(J205="","",IF(J205&lt;11,PAR!$C$6,IF(J205&lt;50,PAR!$C$7,IF(J205&lt;60,PAR!$C$8,IF(J205&lt;70,PAR!$C$9,IF(J205&lt;80,PAR!$C$10,IF(J205&gt;79,PAR!$C$11,0))))))))</f>
        <v/>
      </c>
      <c r="X205" s="18" t="str">
        <f t="shared" si="43"/>
        <v/>
      </c>
      <c r="Y205" s="21" t="str">
        <f t="shared" si="44"/>
        <v/>
      </c>
      <c r="Z205" s="100" t="str">
        <f>IF(IFERROR(IF(E205="Y",(W205*(X205-PAR!$C$15)*Y205)*C205,IF(AA205&lt;&gt;"","See Comment",IFERROR(W205*X205*Y205*C205,"Fill all blue cells"))),"Fill all blue cells")&lt;0,0,(IFERROR(IF(E205="Y",(W205*(X205-PAR!$C$15)*Y205)*C205,IF(AA205&lt;&gt;"","See Comment",IFERROR(W205*X205*Y205*C205,"Fill all blue cells"))),"Fill all blue cells")))</f>
        <v>See Comment</v>
      </c>
      <c r="AA205"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5" s="116" t="str">
        <f t="shared" si="52"/>
        <v/>
      </c>
      <c r="AC205" s="20" t="str">
        <f>IF(AND(E205="Y",D205&lt;PAR!C206),"Non bus miles are less than the minumum of 10 (see column D)",IF(AND(E205="Y",F205&lt;&gt;""),"Non Bus Miles",""))</f>
        <v/>
      </c>
      <c r="AD205" s="20" t="str">
        <f t="shared" si="53"/>
        <v/>
      </c>
      <c r="AE205" s="20" t="str">
        <f t="shared" si="45"/>
        <v>Fill Rated Capacity (see column J),</v>
      </c>
      <c r="AF205" s="20" t="str">
        <f t="shared" si="46"/>
        <v/>
      </c>
      <c r="AG205" s="20" t="str">
        <f t="shared" si="47"/>
        <v>Fill reimbursement % for this LE (see column C)</v>
      </c>
      <c r="AH205" s="20" t="str">
        <f t="shared" si="48"/>
        <v>This route has no eligible riders (see columns L:O)</v>
      </c>
      <c r="AI205" s="20" t="str">
        <f t="shared" si="49"/>
        <v>Fill miles per day (see column D)</v>
      </c>
      <c r="AJ205" s="20" t="str">
        <f t="shared" si="54"/>
        <v>Fill number of operating days (see column F)</v>
      </c>
      <c r="AK205" s="20" t="str">
        <f t="shared" si="55"/>
        <v>Fill Non-Bus Miles with Y or N (See column E)</v>
      </c>
      <c r="AL205" s="98" t="s">
        <v>422</v>
      </c>
      <c r="AM205" s="20" t="str">
        <f t="shared" si="56"/>
        <v/>
      </c>
    </row>
    <row r="206" spans="1:39" x14ac:dyDescent="0.75">
      <c r="A206" s="1" t="s">
        <v>291</v>
      </c>
      <c r="B206" s="130"/>
      <c r="C206" s="33"/>
      <c r="D206" s="41"/>
      <c r="E206" s="48"/>
      <c r="F206" s="45"/>
      <c r="G206" s="32"/>
      <c r="H206" s="16" t="s">
        <v>50</v>
      </c>
      <c r="I206" s="126"/>
      <c r="J206" s="32"/>
      <c r="K206" s="16" t="str">
        <f t="shared" ref="K206:K269" si="57">IF(B206&lt;&gt;"",B206,"")</f>
        <v/>
      </c>
      <c r="L206" s="37"/>
      <c r="M206" s="37"/>
      <c r="N206" s="37"/>
      <c r="O206" s="37"/>
      <c r="P206" s="16" t="str">
        <f t="shared" si="50"/>
        <v/>
      </c>
      <c r="Q206" s="37"/>
      <c r="R206" s="37"/>
      <c r="S206" s="37"/>
      <c r="T206" s="37"/>
      <c r="U206" s="16">
        <f t="shared" ref="U206:U269" si="58">IFERROR(SUM(Q206:T206)+P206,0)</f>
        <v>0</v>
      </c>
      <c r="V206" s="16" t="str">
        <f t="shared" ref="V206:V269" si="59">IF(B206&lt;&gt;"",B206,"")</f>
        <v/>
      </c>
      <c r="W206" s="16" t="str">
        <f>IF(E206="Y",PAR!$C$12,IF(J206="","",IF(J206&lt;11,PAR!$C$6,IF(J206&lt;50,PAR!$C$7,IF(J206&lt;60,PAR!$C$8,IF(J206&lt;70,PAR!$C$9,IF(J206&lt;80,PAR!$C$10,IF(J206&gt;79,PAR!$C$11,0))))))))</f>
        <v/>
      </c>
      <c r="X206" s="16" t="str">
        <f t="shared" ref="X206:X269" si="60">IF(D206="","",D206)</f>
        <v/>
      </c>
      <c r="Y206" s="22" t="str">
        <f t="shared" ref="Y206:Y269" si="61">IF(F206="","",F206)</f>
        <v/>
      </c>
      <c r="Z206" s="100" t="str">
        <f>IF(IFERROR(IF(E206="Y",(W206*(X206-PAR!$C$15)*Y206)*C206,IF(AA206&lt;&gt;"","See Comment",IFERROR(W206*X206*Y206*C206,"Fill all blue cells"))),"Fill all blue cells")&lt;0,0,(IFERROR(IF(E206="Y",(W206*(X206-PAR!$C$15)*Y206)*C206,IF(AA206&lt;&gt;"","See Comment",IFERROR(W206*X206*Y206*C206,"Fill all blue cells"))),"Fill all blue cells")))</f>
        <v>See Comment</v>
      </c>
      <c r="AA206" s="96"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6" s="116" t="str">
        <f t="shared" si="52"/>
        <v/>
      </c>
      <c r="AC206" s="20" t="str">
        <f>IF(AND(E206="Y",D206&lt;PAR!C207),"Non bus miles are less than the minumum of 10 (see column D)",IF(AND(E206="Y",F206&lt;&gt;""),"Non Bus Miles",""))</f>
        <v/>
      </c>
      <c r="AD206" s="20" t="str">
        <f t="shared" si="53"/>
        <v/>
      </c>
      <c r="AE206" s="20" t="str">
        <f t="shared" ref="AE206:AE269" si="62">IF(OR(J206="",J206=0),"Fill Rated Capacity (see column J),","")</f>
        <v>Fill Rated Capacity (see column J),</v>
      </c>
      <c r="AF206" s="20" t="str">
        <f t="shared" ref="AF206:AF269" si="63">IF(F206&gt;180,"Exceeds the 180 Day Operating Limit (See Column F),","")</f>
        <v/>
      </c>
      <c r="AG206" s="20" t="str">
        <f t="shared" ref="AG206:AG269" si="64">IF(C206="","Fill reimbursement % for this LE (see column C)","")</f>
        <v>Fill reimbursement % for this LE (see column C)</v>
      </c>
      <c r="AH206" s="20" t="str">
        <f t="shared" ref="AH206:AH270" si="65">IF(OR(P206="",P206=0),"This route has no eligible riders (see columns L:O)","")</f>
        <v>This route has no eligible riders (see columns L:O)</v>
      </c>
      <c r="AI206" s="20" t="str">
        <f t="shared" ref="AI206:AI269" si="66">IF(D206="","Fill miles per day (see column D)","")</f>
        <v>Fill miles per day (see column D)</v>
      </c>
      <c r="AJ206" s="20" t="str">
        <f t="shared" si="54"/>
        <v>Fill number of operating days (see column F)</v>
      </c>
      <c r="AK206" s="20" t="str">
        <f t="shared" si="55"/>
        <v>Fill Non-Bus Miles with Y or N (See column E)</v>
      </c>
      <c r="AL206" s="98" t="s">
        <v>422</v>
      </c>
      <c r="AM206" s="20" t="str">
        <f t="shared" si="56"/>
        <v/>
      </c>
    </row>
    <row r="207" spans="1:39" x14ac:dyDescent="0.75">
      <c r="A207" s="1" t="s">
        <v>292</v>
      </c>
      <c r="B207" s="130"/>
      <c r="C207" s="36"/>
      <c r="D207" s="42"/>
      <c r="E207" s="47"/>
      <c r="F207" s="44"/>
      <c r="G207" s="35"/>
      <c r="H207" s="18" t="s">
        <v>50</v>
      </c>
      <c r="I207" s="125"/>
      <c r="J207" s="35"/>
      <c r="K207" s="18" t="str">
        <f t="shared" si="57"/>
        <v/>
      </c>
      <c r="L207" s="38"/>
      <c r="M207" s="38"/>
      <c r="N207" s="38"/>
      <c r="O207" s="38"/>
      <c r="P207" s="18" t="str">
        <f t="shared" ref="P207:P270" si="67">IF(AND(L207="",M207="",N207="",O207=""),"",SUM(L207:O207))</f>
        <v/>
      </c>
      <c r="Q207" s="38"/>
      <c r="R207" s="38"/>
      <c r="S207" s="38"/>
      <c r="T207" s="38"/>
      <c r="U207" s="18">
        <f t="shared" si="58"/>
        <v>0</v>
      </c>
      <c r="V207" s="18" t="str">
        <f t="shared" si="59"/>
        <v/>
      </c>
      <c r="W207" s="18" t="str">
        <f>IF(E207="Y",PAR!$C$12,IF(J207="","",IF(J207&lt;11,PAR!$C$6,IF(J207&lt;50,PAR!$C$7,IF(J207&lt;60,PAR!$C$8,IF(J207&lt;70,PAR!$C$9,IF(J207&lt;80,PAR!$C$10,IF(J207&gt;79,PAR!$C$11,0))))))))</f>
        <v/>
      </c>
      <c r="X207" s="18" t="str">
        <f t="shared" si="60"/>
        <v/>
      </c>
      <c r="Y207" s="21" t="str">
        <f t="shared" si="61"/>
        <v/>
      </c>
      <c r="Z207" s="100" t="str">
        <f>IF(IFERROR(IF(E207="Y",(W207*(X207-PAR!$C$15)*Y207)*C207,IF(AA207&lt;&gt;"","See Comment",IFERROR(W207*X207*Y207*C207,"Fill all blue cells"))),"Fill all blue cells")&lt;0,0,(IFERROR(IF(E207="Y",(W207*(X207-PAR!$C$15)*Y207)*C207,IF(AA207&lt;&gt;"","See Comment",IFERROR(W207*X207*Y207*C207,"Fill all blue cells"))),"Fill all blue cells")))</f>
        <v>See Comment</v>
      </c>
      <c r="AA207" s="96" t="str">
        <f t="shared" ref="AA207:AA270" si="68">IF(AC207="Non Bus Miles","",IF(AND(AC207="",AD207="",AE207="",AF207="",AG207="",AH207="",AI207="",AJ207="",AK207=""),"",AC207&amp;" "&amp;AD207&amp;""&amp;AE207&amp;""&amp;AF207&amp;""&amp;""&amp;AG207&amp;""&amp;AH207&amp;""&amp;AI207&amp;""&amp;AJ207&amp;""&amp;AK207))</f>
        <v xml:space="preserve"> Fill Rated Capacity (see column J),Fill reimbursement % for this LE (see column C)This route has no eligible riders (see columns L:O)Fill miles per day (see column D)Fill number of operating days (see column F)Fill Non-Bus Miles with Y or N (See column E)</v>
      </c>
      <c r="AB207" s="116" t="str">
        <f t="shared" ref="AB207:AB270" si="69">AM207</f>
        <v/>
      </c>
      <c r="AC207" s="20" t="str">
        <f>IF(AND(E207="Y",D207&lt;PAR!C208),"Non bus miles are less than the minumum of 10 (see column D)",IF(AND(E207="Y",F207&lt;&gt;""),"Non Bus Miles",""))</f>
        <v/>
      </c>
      <c r="AD207" s="20" t="str">
        <f t="shared" ref="AD207:AD270" si="70">IF(AND(E207="N",U207&gt;J207),"Riders Exceed Capacity of Bus,","")</f>
        <v/>
      </c>
      <c r="AE207" s="20" t="str">
        <f t="shared" si="62"/>
        <v>Fill Rated Capacity (see column J),</v>
      </c>
      <c r="AF207" s="20" t="str">
        <f t="shared" si="63"/>
        <v/>
      </c>
      <c r="AG207" s="20" t="str">
        <f t="shared" si="64"/>
        <v>Fill reimbursement % for this LE (see column C)</v>
      </c>
      <c r="AH207" s="20" t="str">
        <f t="shared" si="65"/>
        <v>This route has no eligible riders (see columns L:O)</v>
      </c>
      <c r="AI207" s="20" t="str">
        <f t="shared" si="66"/>
        <v>Fill miles per day (see column D)</v>
      </c>
      <c r="AJ207" s="20" t="str">
        <f t="shared" ref="AJ207:AJ270" si="71">IF(F207="","Fill number of operating days (see column F)","")</f>
        <v>Fill number of operating days (see column F)</v>
      </c>
      <c r="AK207" s="20" t="str">
        <f t="shared" ref="AK207:AK270" si="72">IF(OR(E207="Y",E207="N"),"","Fill Non-Bus Miles with Y or N (See column E)")</f>
        <v>Fill Non-Bus Miles with Y or N (See column E)</v>
      </c>
      <c r="AL207" s="98" t="s">
        <v>422</v>
      </c>
      <c r="AM207" s="20" t="str">
        <f t="shared" ref="AM207:AM270" si="73">IF(AND(E207="N",J207&lt;11),"You have recorded this as a type E multipurpose vehicle","")</f>
        <v/>
      </c>
    </row>
    <row r="208" spans="1:39" x14ac:dyDescent="0.75">
      <c r="A208" s="1" t="s">
        <v>293</v>
      </c>
      <c r="B208" s="130"/>
      <c r="C208" s="33"/>
      <c r="D208" s="41"/>
      <c r="E208" s="48"/>
      <c r="F208" s="45"/>
      <c r="G208" s="32"/>
      <c r="H208" s="16" t="s">
        <v>50</v>
      </c>
      <c r="I208" s="126"/>
      <c r="J208" s="32"/>
      <c r="K208" s="16" t="str">
        <f t="shared" si="57"/>
        <v/>
      </c>
      <c r="L208" s="37"/>
      <c r="M208" s="37"/>
      <c r="N208" s="37"/>
      <c r="O208" s="37"/>
      <c r="P208" s="16" t="str">
        <f t="shared" si="67"/>
        <v/>
      </c>
      <c r="Q208" s="37"/>
      <c r="R208" s="37"/>
      <c r="S208" s="37"/>
      <c r="T208" s="37"/>
      <c r="U208" s="16">
        <f t="shared" si="58"/>
        <v>0</v>
      </c>
      <c r="V208" s="16" t="str">
        <f t="shared" si="59"/>
        <v/>
      </c>
      <c r="W208" s="16" t="str">
        <f>IF(E208="Y",PAR!$C$12,IF(J208="","",IF(J208&lt;11,PAR!$C$6,IF(J208&lt;50,PAR!$C$7,IF(J208&lt;60,PAR!$C$8,IF(J208&lt;70,PAR!$C$9,IF(J208&lt;80,PAR!$C$10,IF(J208&gt;79,PAR!$C$11,0))))))))</f>
        <v/>
      </c>
      <c r="X208" s="16" t="str">
        <f t="shared" si="60"/>
        <v/>
      </c>
      <c r="Y208" s="22" t="str">
        <f t="shared" si="61"/>
        <v/>
      </c>
      <c r="Z208" s="100" t="str">
        <f>IF(IFERROR(IF(E208="Y",(W208*(X208-PAR!$C$15)*Y208)*C208,IF(AA208&lt;&gt;"","See Comment",IFERROR(W208*X208*Y208*C208,"Fill all blue cells"))),"Fill all blue cells")&lt;0,0,(IFERROR(IF(E208="Y",(W208*(X208-PAR!$C$15)*Y208)*C208,IF(AA208&lt;&gt;"","See Comment",IFERROR(W208*X208*Y208*C208,"Fill all blue cells"))),"Fill all blue cells")))</f>
        <v>See Comment</v>
      </c>
      <c r="AA208"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08" s="116" t="str">
        <f t="shared" si="69"/>
        <v/>
      </c>
      <c r="AC208" s="20" t="str">
        <f>IF(AND(E208="Y",D208&lt;PAR!C209),"Non bus miles are less than the minumum of 10 (see column D)",IF(AND(E208="Y",F208&lt;&gt;""),"Non Bus Miles",""))</f>
        <v/>
      </c>
      <c r="AD208" s="20" t="str">
        <f t="shared" si="70"/>
        <v/>
      </c>
      <c r="AE208" s="20" t="str">
        <f t="shared" si="62"/>
        <v>Fill Rated Capacity (see column J),</v>
      </c>
      <c r="AF208" s="20" t="str">
        <f t="shared" si="63"/>
        <v/>
      </c>
      <c r="AG208" s="20" t="str">
        <f t="shared" si="64"/>
        <v>Fill reimbursement % for this LE (see column C)</v>
      </c>
      <c r="AH208" s="20" t="str">
        <f t="shared" si="65"/>
        <v>This route has no eligible riders (see columns L:O)</v>
      </c>
      <c r="AI208" s="20" t="str">
        <f t="shared" si="66"/>
        <v>Fill miles per day (see column D)</v>
      </c>
      <c r="AJ208" s="20" t="str">
        <f t="shared" si="71"/>
        <v>Fill number of operating days (see column F)</v>
      </c>
      <c r="AK208" s="20" t="str">
        <f t="shared" si="72"/>
        <v>Fill Non-Bus Miles with Y or N (See column E)</v>
      </c>
      <c r="AL208" s="98" t="s">
        <v>422</v>
      </c>
      <c r="AM208" s="20" t="str">
        <f t="shared" si="73"/>
        <v/>
      </c>
    </row>
    <row r="209" spans="1:39" x14ac:dyDescent="0.75">
      <c r="A209" s="1" t="s">
        <v>294</v>
      </c>
      <c r="B209" s="130"/>
      <c r="C209" s="36"/>
      <c r="D209" s="42"/>
      <c r="E209" s="47"/>
      <c r="F209" s="44"/>
      <c r="G209" s="35"/>
      <c r="H209" s="18" t="s">
        <v>50</v>
      </c>
      <c r="I209" s="125"/>
      <c r="J209" s="35"/>
      <c r="K209" s="18" t="str">
        <f t="shared" si="57"/>
        <v/>
      </c>
      <c r="L209" s="38"/>
      <c r="M209" s="38"/>
      <c r="N209" s="38"/>
      <c r="O209" s="38"/>
      <c r="P209" s="18" t="str">
        <f t="shared" si="67"/>
        <v/>
      </c>
      <c r="Q209" s="38"/>
      <c r="R209" s="38"/>
      <c r="S209" s="38"/>
      <c r="T209" s="38"/>
      <c r="U209" s="18">
        <f t="shared" si="58"/>
        <v>0</v>
      </c>
      <c r="V209" s="18" t="str">
        <f t="shared" si="59"/>
        <v/>
      </c>
      <c r="W209" s="18" t="str">
        <f>IF(E209="Y",PAR!$C$12,IF(J209="","",IF(J209&lt;11,PAR!$C$6,IF(J209&lt;50,PAR!$C$7,IF(J209&lt;60,PAR!$C$8,IF(J209&lt;70,PAR!$C$9,IF(J209&lt;80,PAR!$C$10,IF(J209&gt;79,PAR!$C$11,0))))))))</f>
        <v/>
      </c>
      <c r="X209" s="18" t="str">
        <f t="shared" si="60"/>
        <v/>
      </c>
      <c r="Y209" s="21" t="str">
        <f t="shared" si="61"/>
        <v/>
      </c>
      <c r="Z209" s="100" t="str">
        <f>IF(IFERROR(IF(E209="Y",(W209*(X209-PAR!$C$15)*Y209)*C209,IF(AA209&lt;&gt;"","See Comment",IFERROR(W209*X209*Y209*C209,"Fill all blue cells"))),"Fill all blue cells")&lt;0,0,(IFERROR(IF(E209="Y",(W209*(X209-PAR!$C$15)*Y209)*C209,IF(AA209&lt;&gt;"","See Comment",IFERROR(W209*X209*Y209*C209,"Fill all blue cells"))),"Fill all blue cells")))</f>
        <v>See Comment</v>
      </c>
      <c r="AA209"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09" s="116" t="str">
        <f t="shared" si="69"/>
        <v/>
      </c>
      <c r="AC209" s="20" t="str">
        <f>IF(AND(E209="Y",D209&lt;PAR!C210),"Non bus miles are less than the minumum of 10 (see column D)",IF(AND(E209="Y",F209&lt;&gt;""),"Non Bus Miles",""))</f>
        <v/>
      </c>
      <c r="AD209" s="20" t="str">
        <f t="shared" si="70"/>
        <v/>
      </c>
      <c r="AE209" s="20" t="str">
        <f t="shared" si="62"/>
        <v>Fill Rated Capacity (see column J),</v>
      </c>
      <c r="AF209" s="20" t="str">
        <f t="shared" si="63"/>
        <v/>
      </c>
      <c r="AG209" s="20" t="str">
        <f t="shared" si="64"/>
        <v>Fill reimbursement % for this LE (see column C)</v>
      </c>
      <c r="AH209" s="20" t="str">
        <f t="shared" si="65"/>
        <v>This route has no eligible riders (see columns L:O)</v>
      </c>
      <c r="AI209" s="20" t="str">
        <f t="shared" si="66"/>
        <v>Fill miles per day (see column D)</v>
      </c>
      <c r="AJ209" s="20" t="str">
        <f t="shared" si="71"/>
        <v>Fill number of operating days (see column F)</v>
      </c>
      <c r="AK209" s="20" t="str">
        <f t="shared" si="72"/>
        <v>Fill Non-Bus Miles with Y or N (See column E)</v>
      </c>
      <c r="AL209" s="98" t="s">
        <v>422</v>
      </c>
      <c r="AM209" s="20" t="str">
        <f t="shared" si="73"/>
        <v/>
      </c>
    </row>
    <row r="210" spans="1:39" x14ac:dyDescent="0.75">
      <c r="A210" s="1" t="s">
        <v>295</v>
      </c>
      <c r="B210" s="130"/>
      <c r="C210" s="33"/>
      <c r="D210" s="41"/>
      <c r="E210" s="48"/>
      <c r="F210" s="45"/>
      <c r="G210" s="32"/>
      <c r="H210" s="16" t="s">
        <v>50</v>
      </c>
      <c r="I210" s="126"/>
      <c r="J210" s="32"/>
      <c r="K210" s="16" t="str">
        <f t="shared" si="57"/>
        <v/>
      </c>
      <c r="L210" s="37"/>
      <c r="M210" s="37"/>
      <c r="N210" s="37"/>
      <c r="O210" s="37"/>
      <c r="P210" s="16" t="str">
        <f t="shared" si="67"/>
        <v/>
      </c>
      <c r="Q210" s="37"/>
      <c r="R210" s="37"/>
      <c r="S210" s="37"/>
      <c r="T210" s="37"/>
      <c r="U210" s="16">
        <f t="shared" si="58"/>
        <v>0</v>
      </c>
      <c r="V210" s="16" t="str">
        <f t="shared" si="59"/>
        <v/>
      </c>
      <c r="W210" s="16" t="str">
        <f>IF(E210="Y",PAR!$C$12,IF(J210="","",IF(J210&lt;11,PAR!$C$6,IF(J210&lt;50,PAR!$C$7,IF(J210&lt;60,PAR!$C$8,IF(J210&lt;70,PAR!$C$9,IF(J210&lt;80,PAR!$C$10,IF(J210&gt;79,PAR!$C$11,0))))))))</f>
        <v/>
      </c>
      <c r="X210" s="16" t="str">
        <f t="shared" si="60"/>
        <v/>
      </c>
      <c r="Y210" s="22" t="str">
        <f t="shared" si="61"/>
        <v/>
      </c>
      <c r="Z210" s="100" t="str">
        <f>IF(IFERROR(IF(E210="Y",(W210*(X210-PAR!$C$15)*Y210)*C210,IF(AA210&lt;&gt;"","See Comment",IFERROR(W210*X210*Y210*C210,"Fill all blue cells"))),"Fill all blue cells")&lt;0,0,(IFERROR(IF(E210="Y",(W210*(X210-PAR!$C$15)*Y210)*C210,IF(AA210&lt;&gt;"","See Comment",IFERROR(W210*X210*Y210*C210,"Fill all blue cells"))),"Fill all blue cells")))</f>
        <v>See Comment</v>
      </c>
      <c r="AA210"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0" s="116" t="str">
        <f t="shared" si="69"/>
        <v/>
      </c>
      <c r="AC210" s="20" t="str">
        <f>IF(AND(E210="Y",D210&lt;PAR!C211),"Non bus miles are less than the minumum of 10 (see column D)",IF(AND(E210="Y",F210&lt;&gt;""),"Non Bus Miles",""))</f>
        <v/>
      </c>
      <c r="AD210" s="20" t="str">
        <f t="shared" si="70"/>
        <v/>
      </c>
      <c r="AE210" s="20" t="str">
        <f t="shared" si="62"/>
        <v>Fill Rated Capacity (see column J),</v>
      </c>
      <c r="AF210" s="20" t="str">
        <f t="shared" si="63"/>
        <v/>
      </c>
      <c r="AG210" s="20" t="str">
        <f t="shared" si="64"/>
        <v>Fill reimbursement % for this LE (see column C)</v>
      </c>
      <c r="AH210" s="20" t="str">
        <f t="shared" si="65"/>
        <v>This route has no eligible riders (see columns L:O)</v>
      </c>
      <c r="AI210" s="20" t="str">
        <f t="shared" si="66"/>
        <v>Fill miles per day (see column D)</v>
      </c>
      <c r="AJ210" s="20" t="str">
        <f t="shared" si="71"/>
        <v>Fill number of operating days (see column F)</v>
      </c>
      <c r="AK210" s="20" t="str">
        <f t="shared" si="72"/>
        <v>Fill Non-Bus Miles with Y or N (See column E)</v>
      </c>
      <c r="AL210" s="98" t="s">
        <v>422</v>
      </c>
      <c r="AM210" s="20" t="str">
        <f t="shared" si="73"/>
        <v/>
      </c>
    </row>
    <row r="211" spans="1:39" x14ac:dyDescent="0.75">
      <c r="A211" s="1" t="s">
        <v>296</v>
      </c>
      <c r="B211" s="130"/>
      <c r="C211" s="36"/>
      <c r="D211" s="42"/>
      <c r="E211" s="47"/>
      <c r="F211" s="44"/>
      <c r="G211" s="35"/>
      <c r="H211" s="18" t="s">
        <v>50</v>
      </c>
      <c r="I211" s="125"/>
      <c r="J211" s="35"/>
      <c r="K211" s="18" t="str">
        <f t="shared" si="57"/>
        <v/>
      </c>
      <c r="L211" s="38"/>
      <c r="M211" s="38"/>
      <c r="N211" s="38"/>
      <c r="O211" s="38"/>
      <c r="P211" s="18" t="str">
        <f t="shared" si="67"/>
        <v/>
      </c>
      <c r="Q211" s="38"/>
      <c r="R211" s="38"/>
      <c r="S211" s="38"/>
      <c r="T211" s="38"/>
      <c r="U211" s="18">
        <f t="shared" si="58"/>
        <v>0</v>
      </c>
      <c r="V211" s="18" t="str">
        <f t="shared" si="59"/>
        <v/>
      </c>
      <c r="W211" s="18" t="str">
        <f>IF(E211="Y",PAR!$C$12,IF(J211="","",IF(J211&lt;11,PAR!$C$6,IF(J211&lt;50,PAR!$C$7,IF(J211&lt;60,PAR!$C$8,IF(J211&lt;70,PAR!$C$9,IF(J211&lt;80,PAR!$C$10,IF(J211&gt;79,PAR!$C$11,0))))))))</f>
        <v/>
      </c>
      <c r="X211" s="18" t="str">
        <f t="shared" si="60"/>
        <v/>
      </c>
      <c r="Y211" s="21" t="str">
        <f t="shared" si="61"/>
        <v/>
      </c>
      <c r="Z211" s="100" t="str">
        <f>IF(IFERROR(IF(E211="Y",(W211*(X211-PAR!$C$15)*Y211)*C211,IF(AA211&lt;&gt;"","See Comment",IFERROR(W211*X211*Y211*C211,"Fill all blue cells"))),"Fill all blue cells")&lt;0,0,(IFERROR(IF(E211="Y",(W211*(X211-PAR!$C$15)*Y211)*C211,IF(AA211&lt;&gt;"","See Comment",IFERROR(W211*X211*Y211*C211,"Fill all blue cells"))),"Fill all blue cells")))</f>
        <v>See Comment</v>
      </c>
      <c r="AA211"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1" s="116" t="str">
        <f t="shared" si="69"/>
        <v/>
      </c>
      <c r="AC211" s="20" t="str">
        <f>IF(AND(E211="Y",D211&lt;PAR!C212),"Non bus miles are less than the minumum of 10 (see column D)",IF(AND(E211="Y",F211&lt;&gt;""),"Non Bus Miles",""))</f>
        <v/>
      </c>
      <c r="AD211" s="20" t="str">
        <f t="shared" si="70"/>
        <v/>
      </c>
      <c r="AE211" s="20" t="str">
        <f t="shared" si="62"/>
        <v>Fill Rated Capacity (see column J),</v>
      </c>
      <c r="AF211" s="20" t="str">
        <f t="shared" si="63"/>
        <v/>
      </c>
      <c r="AG211" s="20" t="str">
        <f t="shared" si="64"/>
        <v>Fill reimbursement % for this LE (see column C)</v>
      </c>
      <c r="AH211" s="20" t="str">
        <f t="shared" si="65"/>
        <v>This route has no eligible riders (see columns L:O)</v>
      </c>
      <c r="AI211" s="20" t="str">
        <f t="shared" si="66"/>
        <v>Fill miles per day (see column D)</v>
      </c>
      <c r="AJ211" s="20" t="str">
        <f t="shared" si="71"/>
        <v>Fill number of operating days (see column F)</v>
      </c>
      <c r="AK211" s="20" t="str">
        <f t="shared" si="72"/>
        <v>Fill Non-Bus Miles with Y or N (See column E)</v>
      </c>
      <c r="AL211" s="98" t="s">
        <v>422</v>
      </c>
      <c r="AM211" s="20" t="str">
        <f t="shared" si="73"/>
        <v/>
      </c>
    </row>
    <row r="212" spans="1:39" x14ac:dyDescent="0.75">
      <c r="A212" s="1" t="s">
        <v>297</v>
      </c>
      <c r="B212" s="130"/>
      <c r="C212" s="33"/>
      <c r="D212" s="41"/>
      <c r="E212" s="48"/>
      <c r="F212" s="45"/>
      <c r="G212" s="32"/>
      <c r="H212" s="16" t="s">
        <v>50</v>
      </c>
      <c r="I212" s="126"/>
      <c r="J212" s="32"/>
      <c r="K212" s="16" t="str">
        <f t="shared" si="57"/>
        <v/>
      </c>
      <c r="L212" s="37"/>
      <c r="M212" s="37"/>
      <c r="N212" s="37"/>
      <c r="O212" s="37"/>
      <c r="P212" s="16" t="str">
        <f t="shared" si="67"/>
        <v/>
      </c>
      <c r="Q212" s="37"/>
      <c r="R212" s="37"/>
      <c r="S212" s="37"/>
      <c r="T212" s="37"/>
      <c r="U212" s="16">
        <f t="shared" si="58"/>
        <v>0</v>
      </c>
      <c r="V212" s="16" t="str">
        <f t="shared" si="59"/>
        <v/>
      </c>
      <c r="W212" s="16" t="str">
        <f>IF(E212="Y",PAR!$C$12,IF(J212="","",IF(J212&lt;11,PAR!$C$6,IF(J212&lt;50,PAR!$C$7,IF(J212&lt;60,PAR!$C$8,IF(J212&lt;70,PAR!$C$9,IF(J212&lt;80,PAR!$C$10,IF(J212&gt;79,PAR!$C$11,0))))))))</f>
        <v/>
      </c>
      <c r="X212" s="16" t="str">
        <f t="shared" si="60"/>
        <v/>
      </c>
      <c r="Y212" s="22" t="str">
        <f t="shared" si="61"/>
        <v/>
      </c>
      <c r="Z212" s="100" t="str">
        <f>IF(IFERROR(IF(E212="Y",(W212*(X212-PAR!$C$15)*Y212)*C212,IF(AA212&lt;&gt;"","See Comment",IFERROR(W212*X212*Y212*C212,"Fill all blue cells"))),"Fill all blue cells")&lt;0,0,(IFERROR(IF(E212="Y",(W212*(X212-PAR!$C$15)*Y212)*C212,IF(AA212&lt;&gt;"","See Comment",IFERROR(W212*X212*Y212*C212,"Fill all blue cells"))),"Fill all blue cells")))</f>
        <v>See Comment</v>
      </c>
      <c r="AA212"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2" s="116" t="str">
        <f t="shared" si="69"/>
        <v/>
      </c>
      <c r="AC212" s="20" t="str">
        <f>IF(AND(E212="Y",D212&lt;PAR!C213),"Non bus miles are less than the minumum of 10 (see column D)",IF(AND(E212="Y",F212&lt;&gt;""),"Non Bus Miles",""))</f>
        <v/>
      </c>
      <c r="AD212" s="20" t="str">
        <f t="shared" si="70"/>
        <v/>
      </c>
      <c r="AE212" s="20" t="str">
        <f t="shared" si="62"/>
        <v>Fill Rated Capacity (see column J),</v>
      </c>
      <c r="AF212" s="20" t="str">
        <f t="shared" si="63"/>
        <v/>
      </c>
      <c r="AG212" s="20" t="str">
        <f t="shared" si="64"/>
        <v>Fill reimbursement % for this LE (see column C)</v>
      </c>
      <c r="AH212" s="20" t="str">
        <f t="shared" si="65"/>
        <v>This route has no eligible riders (see columns L:O)</v>
      </c>
      <c r="AI212" s="20" t="str">
        <f t="shared" si="66"/>
        <v>Fill miles per day (see column D)</v>
      </c>
      <c r="AJ212" s="20" t="str">
        <f t="shared" si="71"/>
        <v>Fill number of operating days (see column F)</v>
      </c>
      <c r="AK212" s="20" t="str">
        <f t="shared" si="72"/>
        <v>Fill Non-Bus Miles with Y or N (See column E)</v>
      </c>
      <c r="AL212" s="98" t="s">
        <v>422</v>
      </c>
      <c r="AM212" s="20" t="str">
        <f t="shared" si="73"/>
        <v/>
      </c>
    </row>
    <row r="213" spans="1:39" x14ac:dyDescent="0.75">
      <c r="A213" s="1" t="s">
        <v>298</v>
      </c>
      <c r="B213" s="130"/>
      <c r="C213" s="36"/>
      <c r="D213" s="42"/>
      <c r="E213" s="47"/>
      <c r="F213" s="44"/>
      <c r="G213" s="35"/>
      <c r="H213" s="18" t="s">
        <v>50</v>
      </c>
      <c r="I213" s="125"/>
      <c r="J213" s="35"/>
      <c r="K213" s="18" t="str">
        <f t="shared" si="57"/>
        <v/>
      </c>
      <c r="L213" s="38"/>
      <c r="M213" s="38"/>
      <c r="N213" s="38"/>
      <c r="O213" s="38"/>
      <c r="P213" s="18" t="str">
        <f t="shared" si="67"/>
        <v/>
      </c>
      <c r="Q213" s="38"/>
      <c r="R213" s="38"/>
      <c r="S213" s="38"/>
      <c r="T213" s="38"/>
      <c r="U213" s="18">
        <f t="shared" si="58"/>
        <v>0</v>
      </c>
      <c r="V213" s="18" t="str">
        <f t="shared" si="59"/>
        <v/>
      </c>
      <c r="W213" s="18" t="str">
        <f>IF(E213="Y",PAR!$C$12,IF(J213="","",IF(J213&lt;11,PAR!$C$6,IF(J213&lt;50,PAR!$C$7,IF(J213&lt;60,PAR!$C$8,IF(J213&lt;70,PAR!$C$9,IF(J213&lt;80,PAR!$C$10,IF(J213&gt;79,PAR!$C$11,0))))))))</f>
        <v/>
      </c>
      <c r="X213" s="18" t="str">
        <f t="shared" si="60"/>
        <v/>
      </c>
      <c r="Y213" s="21" t="str">
        <f t="shared" si="61"/>
        <v/>
      </c>
      <c r="Z213" s="100" t="str">
        <f>IF(IFERROR(IF(E213="Y",(W213*(X213-PAR!$C$15)*Y213)*C213,IF(AA213&lt;&gt;"","See Comment",IFERROR(W213*X213*Y213*C213,"Fill all blue cells"))),"Fill all blue cells")&lt;0,0,(IFERROR(IF(E213="Y",(W213*(X213-PAR!$C$15)*Y213)*C213,IF(AA213&lt;&gt;"","See Comment",IFERROR(W213*X213*Y213*C213,"Fill all blue cells"))),"Fill all blue cells")))</f>
        <v>See Comment</v>
      </c>
      <c r="AA213"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3" s="116" t="str">
        <f t="shared" si="69"/>
        <v/>
      </c>
      <c r="AC213" s="20" t="str">
        <f>IF(AND(E213="Y",D213&lt;PAR!C214),"Non bus miles are less than the minumum of 10 (see column D)",IF(AND(E213="Y",F213&lt;&gt;""),"Non Bus Miles",""))</f>
        <v/>
      </c>
      <c r="AD213" s="20" t="str">
        <f t="shared" si="70"/>
        <v/>
      </c>
      <c r="AE213" s="20" t="str">
        <f t="shared" si="62"/>
        <v>Fill Rated Capacity (see column J),</v>
      </c>
      <c r="AF213" s="20" t="str">
        <f t="shared" si="63"/>
        <v/>
      </c>
      <c r="AG213" s="20" t="str">
        <f t="shared" si="64"/>
        <v>Fill reimbursement % for this LE (see column C)</v>
      </c>
      <c r="AH213" s="20" t="str">
        <f t="shared" si="65"/>
        <v>This route has no eligible riders (see columns L:O)</v>
      </c>
      <c r="AI213" s="20" t="str">
        <f t="shared" si="66"/>
        <v>Fill miles per day (see column D)</v>
      </c>
      <c r="AJ213" s="20" t="str">
        <f t="shared" si="71"/>
        <v>Fill number of operating days (see column F)</v>
      </c>
      <c r="AK213" s="20" t="str">
        <f t="shared" si="72"/>
        <v>Fill Non-Bus Miles with Y or N (See column E)</v>
      </c>
      <c r="AL213" s="98" t="s">
        <v>422</v>
      </c>
      <c r="AM213" s="20" t="str">
        <f t="shared" si="73"/>
        <v/>
      </c>
    </row>
    <row r="214" spans="1:39" x14ac:dyDescent="0.75">
      <c r="A214" s="1" t="s">
        <v>299</v>
      </c>
      <c r="B214" s="130"/>
      <c r="C214" s="33"/>
      <c r="D214" s="41"/>
      <c r="E214" s="48"/>
      <c r="F214" s="45"/>
      <c r="G214" s="32"/>
      <c r="H214" s="16" t="s">
        <v>50</v>
      </c>
      <c r="I214" s="126"/>
      <c r="J214" s="32"/>
      <c r="K214" s="16" t="str">
        <f t="shared" si="57"/>
        <v/>
      </c>
      <c r="L214" s="37"/>
      <c r="M214" s="37"/>
      <c r="N214" s="37"/>
      <c r="O214" s="37"/>
      <c r="P214" s="16" t="str">
        <f t="shared" si="67"/>
        <v/>
      </c>
      <c r="Q214" s="37"/>
      <c r="R214" s="37"/>
      <c r="S214" s="37"/>
      <c r="T214" s="37"/>
      <c r="U214" s="16">
        <f t="shared" si="58"/>
        <v>0</v>
      </c>
      <c r="V214" s="16" t="str">
        <f t="shared" si="59"/>
        <v/>
      </c>
      <c r="W214" s="16" t="str">
        <f>IF(E214="Y",PAR!$C$12,IF(J214="","",IF(J214&lt;11,PAR!$C$6,IF(J214&lt;50,PAR!$C$7,IF(J214&lt;60,PAR!$C$8,IF(J214&lt;70,PAR!$C$9,IF(J214&lt;80,PAR!$C$10,IF(J214&gt;79,PAR!$C$11,0))))))))</f>
        <v/>
      </c>
      <c r="X214" s="16" t="str">
        <f t="shared" si="60"/>
        <v/>
      </c>
      <c r="Y214" s="22" t="str">
        <f t="shared" si="61"/>
        <v/>
      </c>
      <c r="Z214" s="100" t="str">
        <f>IF(IFERROR(IF(E214="Y",(W214*(X214-PAR!$C$15)*Y214)*C214,IF(AA214&lt;&gt;"","See Comment",IFERROR(W214*X214*Y214*C214,"Fill all blue cells"))),"Fill all blue cells")&lt;0,0,(IFERROR(IF(E214="Y",(W214*(X214-PAR!$C$15)*Y214)*C214,IF(AA214&lt;&gt;"","See Comment",IFERROR(W214*X214*Y214*C214,"Fill all blue cells"))),"Fill all blue cells")))</f>
        <v>See Comment</v>
      </c>
      <c r="AA214"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4" s="116" t="str">
        <f t="shared" si="69"/>
        <v/>
      </c>
      <c r="AC214" s="20" t="str">
        <f>IF(AND(E214="Y",D214&lt;PAR!C215),"Non bus miles are less than the minumum of 10 (see column D)",IF(AND(E214="Y",F214&lt;&gt;""),"Non Bus Miles",""))</f>
        <v/>
      </c>
      <c r="AD214" s="20" t="str">
        <f t="shared" si="70"/>
        <v/>
      </c>
      <c r="AE214" s="20" t="str">
        <f t="shared" si="62"/>
        <v>Fill Rated Capacity (see column J),</v>
      </c>
      <c r="AF214" s="20" t="str">
        <f t="shared" si="63"/>
        <v/>
      </c>
      <c r="AG214" s="20" t="str">
        <f t="shared" si="64"/>
        <v>Fill reimbursement % for this LE (see column C)</v>
      </c>
      <c r="AH214" s="20" t="str">
        <f t="shared" si="65"/>
        <v>This route has no eligible riders (see columns L:O)</v>
      </c>
      <c r="AI214" s="20" t="str">
        <f t="shared" si="66"/>
        <v>Fill miles per day (see column D)</v>
      </c>
      <c r="AJ214" s="20" t="str">
        <f t="shared" si="71"/>
        <v>Fill number of operating days (see column F)</v>
      </c>
      <c r="AK214" s="20" t="str">
        <f t="shared" si="72"/>
        <v>Fill Non-Bus Miles with Y or N (See column E)</v>
      </c>
      <c r="AL214" s="98" t="s">
        <v>422</v>
      </c>
      <c r="AM214" s="20" t="str">
        <f t="shared" si="73"/>
        <v/>
      </c>
    </row>
    <row r="215" spans="1:39" x14ac:dyDescent="0.75">
      <c r="A215" s="1" t="s">
        <v>300</v>
      </c>
      <c r="B215" s="130"/>
      <c r="C215" s="36"/>
      <c r="D215" s="42"/>
      <c r="E215" s="47"/>
      <c r="F215" s="44"/>
      <c r="G215" s="35"/>
      <c r="H215" s="18" t="s">
        <v>50</v>
      </c>
      <c r="I215" s="125"/>
      <c r="J215" s="35"/>
      <c r="K215" s="18" t="str">
        <f t="shared" si="57"/>
        <v/>
      </c>
      <c r="L215" s="38"/>
      <c r="M215" s="38"/>
      <c r="N215" s="38"/>
      <c r="O215" s="38"/>
      <c r="P215" s="18" t="str">
        <f t="shared" si="67"/>
        <v/>
      </c>
      <c r="Q215" s="38"/>
      <c r="R215" s="38"/>
      <c r="S215" s="38"/>
      <c r="T215" s="38"/>
      <c r="U215" s="18">
        <f t="shared" si="58"/>
        <v>0</v>
      </c>
      <c r="V215" s="18" t="str">
        <f t="shared" si="59"/>
        <v/>
      </c>
      <c r="W215" s="18" t="str">
        <f>IF(E215="Y",PAR!$C$12,IF(J215="","",IF(J215&lt;11,PAR!$C$6,IF(J215&lt;50,PAR!$C$7,IF(J215&lt;60,PAR!$C$8,IF(J215&lt;70,PAR!$C$9,IF(J215&lt;80,PAR!$C$10,IF(J215&gt;79,PAR!$C$11,0))))))))</f>
        <v/>
      </c>
      <c r="X215" s="18" t="str">
        <f t="shared" si="60"/>
        <v/>
      </c>
      <c r="Y215" s="21" t="str">
        <f t="shared" si="61"/>
        <v/>
      </c>
      <c r="Z215" s="100" t="str">
        <f>IF(IFERROR(IF(E215="Y",(W215*(X215-PAR!$C$15)*Y215)*C215,IF(AA215&lt;&gt;"","See Comment",IFERROR(W215*X215*Y215*C215,"Fill all blue cells"))),"Fill all blue cells")&lt;0,0,(IFERROR(IF(E215="Y",(W215*(X215-PAR!$C$15)*Y215)*C215,IF(AA215&lt;&gt;"","See Comment",IFERROR(W215*X215*Y215*C215,"Fill all blue cells"))),"Fill all blue cells")))</f>
        <v>See Comment</v>
      </c>
      <c r="AA215"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5" s="116" t="str">
        <f t="shared" si="69"/>
        <v/>
      </c>
      <c r="AC215" s="20" t="str">
        <f>IF(AND(E215="Y",D215&lt;PAR!C216),"Non bus miles are less than the minumum of 10 (see column D)",IF(AND(E215="Y",F215&lt;&gt;""),"Non Bus Miles",""))</f>
        <v/>
      </c>
      <c r="AD215" s="20" t="str">
        <f t="shared" si="70"/>
        <v/>
      </c>
      <c r="AE215" s="20" t="str">
        <f t="shared" si="62"/>
        <v>Fill Rated Capacity (see column J),</v>
      </c>
      <c r="AF215" s="20" t="str">
        <f t="shared" si="63"/>
        <v/>
      </c>
      <c r="AG215" s="20" t="str">
        <f t="shared" si="64"/>
        <v>Fill reimbursement % for this LE (see column C)</v>
      </c>
      <c r="AH215" s="20" t="str">
        <f t="shared" si="65"/>
        <v>This route has no eligible riders (see columns L:O)</v>
      </c>
      <c r="AI215" s="20" t="str">
        <f t="shared" si="66"/>
        <v>Fill miles per day (see column D)</v>
      </c>
      <c r="AJ215" s="20" t="str">
        <f t="shared" si="71"/>
        <v>Fill number of operating days (see column F)</v>
      </c>
      <c r="AK215" s="20" t="str">
        <f t="shared" si="72"/>
        <v>Fill Non-Bus Miles with Y or N (See column E)</v>
      </c>
      <c r="AL215" s="98" t="s">
        <v>422</v>
      </c>
      <c r="AM215" s="20" t="str">
        <f t="shared" si="73"/>
        <v/>
      </c>
    </row>
    <row r="216" spans="1:39" x14ac:dyDescent="0.75">
      <c r="A216" s="1" t="s">
        <v>301</v>
      </c>
      <c r="B216" s="130"/>
      <c r="C216" s="33"/>
      <c r="D216" s="41"/>
      <c r="E216" s="48"/>
      <c r="F216" s="45"/>
      <c r="G216" s="32"/>
      <c r="H216" s="16" t="s">
        <v>50</v>
      </c>
      <c r="I216" s="126"/>
      <c r="J216" s="32"/>
      <c r="K216" s="16" t="str">
        <f t="shared" si="57"/>
        <v/>
      </c>
      <c r="L216" s="37"/>
      <c r="M216" s="37"/>
      <c r="N216" s="37"/>
      <c r="O216" s="37"/>
      <c r="P216" s="16" t="str">
        <f t="shared" si="67"/>
        <v/>
      </c>
      <c r="Q216" s="37"/>
      <c r="R216" s="37"/>
      <c r="S216" s="37"/>
      <c r="T216" s="37"/>
      <c r="U216" s="16">
        <f t="shared" si="58"/>
        <v>0</v>
      </c>
      <c r="V216" s="16" t="str">
        <f t="shared" si="59"/>
        <v/>
      </c>
      <c r="W216" s="16" t="str">
        <f>IF(E216="Y",PAR!$C$12,IF(J216="","",IF(J216&lt;11,PAR!$C$6,IF(J216&lt;50,PAR!$C$7,IF(J216&lt;60,PAR!$C$8,IF(J216&lt;70,PAR!$C$9,IF(J216&lt;80,PAR!$C$10,IF(J216&gt;79,PAR!$C$11,0))))))))</f>
        <v/>
      </c>
      <c r="X216" s="16" t="str">
        <f t="shared" si="60"/>
        <v/>
      </c>
      <c r="Y216" s="22" t="str">
        <f t="shared" si="61"/>
        <v/>
      </c>
      <c r="Z216" s="100" t="str">
        <f>IF(IFERROR(IF(E216="Y",(W216*(X216-PAR!$C$15)*Y216)*C216,IF(AA216&lt;&gt;"","See Comment",IFERROR(W216*X216*Y216*C216,"Fill all blue cells"))),"Fill all blue cells")&lt;0,0,(IFERROR(IF(E216="Y",(W216*(X216-PAR!$C$15)*Y216)*C216,IF(AA216&lt;&gt;"","See Comment",IFERROR(W216*X216*Y216*C216,"Fill all blue cells"))),"Fill all blue cells")))</f>
        <v>See Comment</v>
      </c>
      <c r="AA216"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6" s="116" t="str">
        <f t="shared" si="69"/>
        <v/>
      </c>
      <c r="AC216" s="20" t="str">
        <f>IF(AND(E216="Y",D216&lt;PAR!C217),"Non bus miles are less than the minumum of 10 (see column D)",IF(AND(E216="Y",F216&lt;&gt;""),"Non Bus Miles",""))</f>
        <v/>
      </c>
      <c r="AD216" s="20" t="str">
        <f t="shared" si="70"/>
        <v/>
      </c>
      <c r="AE216" s="20" t="str">
        <f t="shared" si="62"/>
        <v>Fill Rated Capacity (see column J),</v>
      </c>
      <c r="AF216" s="20" t="str">
        <f t="shared" si="63"/>
        <v/>
      </c>
      <c r="AG216" s="20" t="str">
        <f t="shared" si="64"/>
        <v>Fill reimbursement % for this LE (see column C)</v>
      </c>
      <c r="AH216" s="20" t="str">
        <f t="shared" si="65"/>
        <v>This route has no eligible riders (see columns L:O)</v>
      </c>
      <c r="AI216" s="20" t="str">
        <f t="shared" si="66"/>
        <v>Fill miles per day (see column D)</v>
      </c>
      <c r="AJ216" s="20" t="str">
        <f t="shared" si="71"/>
        <v>Fill number of operating days (see column F)</v>
      </c>
      <c r="AK216" s="20" t="str">
        <f t="shared" si="72"/>
        <v>Fill Non-Bus Miles with Y or N (See column E)</v>
      </c>
      <c r="AL216" s="98" t="s">
        <v>422</v>
      </c>
      <c r="AM216" s="20" t="str">
        <f t="shared" si="73"/>
        <v/>
      </c>
    </row>
    <row r="217" spans="1:39" x14ac:dyDescent="0.75">
      <c r="A217" s="1" t="s">
        <v>302</v>
      </c>
      <c r="B217" s="130"/>
      <c r="C217" s="36"/>
      <c r="D217" s="42"/>
      <c r="E217" s="47"/>
      <c r="F217" s="44"/>
      <c r="G217" s="35"/>
      <c r="H217" s="18" t="s">
        <v>50</v>
      </c>
      <c r="I217" s="125"/>
      <c r="J217" s="35"/>
      <c r="K217" s="18" t="str">
        <f t="shared" si="57"/>
        <v/>
      </c>
      <c r="L217" s="38"/>
      <c r="M217" s="38"/>
      <c r="N217" s="38"/>
      <c r="O217" s="38"/>
      <c r="P217" s="18" t="str">
        <f t="shared" si="67"/>
        <v/>
      </c>
      <c r="Q217" s="38"/>
      <c r="R217" s="38"/>
      <c r="S217" s="38"/>
      <c r="T217" s="38"/>
      <c r="U217" s="18">
        <f t="shared" si="58"/>
        <v>0</v>
      </c>
      <c r="V217" s="18" t="str">
        <f t="shared" si="59"/>
        <v/>
      </c>
      <c r="W217" s="18" t="str">
        <f>IF(E217="Y",PAR!$C$12,IF(J217="","",IF(J217&lt;11,PAR!$C$6,IF(J217&lt;50,PAR!$C$7,IF(J217&lt;60,PAR!$C$8,IF(J217&lt;70,PAR!$C$9,IF(J217&lt;80,PAR!$C$10,IF(J217&gt;79,PAR!$C$11,0))))))))</f>
        <v/>
      </c>
      <c r="X217" s="18" t="str">
        <f t="shared" si="60"/>
        <v/>
      </c>
      <c r="Y217" s="21" t="str">
        <f t="shared" si="61"/>
        <v/>
      </c>
      <c r="Z217" s="100" t="str">
        <f>IF(IFERROR(IF(E217="Y",(W217*(X217-PAR!$C$15)*Y217)*C217,IF(AA217&lt;&gt;"","See Comment",IFERROR(W217*X217*Y217*C217,"Fill all blue cells"))),"Fill all blue cells")&lt;0,0,(IFERROR(IF(E217="Y",(W217*(X217-PAR!$C$15)*Y217)*C217,IF(AA217&lt;&gt;"","See Comment",IFERROR(W217*X217*Y217*C217,"Fill all blue cells"))),"Fill all blue cells")))</f>
        <v>See Comment</v>
      </c>
      <c r="AA217"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7" s="116" t="str">
        <f t="shared" si="69"/>
        <v/>
      </c>
      <c r="AC217" s="20" t="str">
        <f>IF(AND(E217="Y",D217&lt;PAR!C218),"Non bus miles are less than the minumum of 10 (see column D)",IF(AND(E217="Y",F217&lt;&gt;""),"Non Bus Miles",""))</f>
        <v/>
      </c>
      <c r="AD217" s="20" t="str">
        <f t="shared" si="70"/>
        <v/>
      </c>
      <c r="AE217" s="20" t="str">
        <f t="shared" si="62"/>
        <v>Fill Rated Capacity (see column J),</v>
      </c>
      <c r="AF217" s="20" t="str">
        <f t="shared" si="63"/>
        <v/>
      </c>
      <c r="AG217" s="20" t="str">
        <f t="shared" si="64"/>
        <v>Fill reimbursement % for this LE (see column C)</v>
      </c>
      <c r="AH217" s="20" t="str">
        <f t="shared" si="65"/>
        <v>This route has no eligible riders (see columns L:O)</v>
      </c>
      <c r="AI217" s="20" t="str">
        <f t="shared" si="66"/>
        <v>Fill miles per day (see column D)</v>
      </c>
      <c r="AJ217" s="20" t="str">
        <f t="shared" si="71"/>
        <v>Fill number of operating days (see column F)</v>
      </c>
      <c r="AK217" s="20" t="str">
        <f t="shared" si="72"/>
        <v>Fill Non-Bus Miles with Y or N (See column E)</v>
      </c>
      <c r="AL217" s="98" t="s">
        <v>422</v>
      </c>
      <c r="AM217" s="20" t="str">
        <f t="shared" si="73"/>
        <v/>
      </c>
    </row>
    <row r="218" spans="1:39" x14ac:dyDescent="0.75">
      <c r="A218" s="1" t="s">
        <v>303</v>
      </c>
      <c r="B218" s="130"/>
      <c r="C218" s="33"/>
      <c r="D218" s="41"/>
      <c r="E218" s="48"/>
      <c r="F218" s="45"/>
      <c r="G218" s="32"/>
      <c r="H218" s="16" t="s">
        <v>50</v>
      </c>
      <c r="I218" s="126"/>
      <c r="J218" s="32"/>
      <c r="K218" s="16" t="str">
        <f t="shared" si="57"/>
        <v/>
      </c>
      <c r="L218" s="37"/>
      <c r="M218" s="37"/>
      <c r="N218" s="37"/>
      <c r="O218" s="37"/>
      <c r="P218" s="16" t="str">
        <f t="shared" si="67"/>
        <v/>
      </c>
      <c r="Q218" s="37"/>
      <c r="R218" s="37"/>
      <c r="S218" s="37"/>
      <c r="T218" s="37"/>
      <c r="U218" s="16">
        <f t="shared" si="58"/>
        <v>0</v>
      </c>
      <c r="V218" s="16" t="str">
        <f t="shared" si="59"/>
        <v/>
      </c>
      <c r="W218" s="16" t="str">
        <f>IF(E218="Y",PAR!$C$12,IF(J218="","",IF(J218&lt;11,PAR!$C$6,IF(J218&lt;50,PAR!$C$7,IF(J218&lt;60,PAR!$C$8,IF(J218&lt;70,PAR!$C$9,IF(J218&lt;80,PAR!$C$10,IF(J218&gt;79,PAR!$C$11,0))))))))</f>
        <v/>
      </c>
      <c r="X218" s="16" t="str">
        <f t="shared" si="60"/>
        <v/>
      </c>
      <c r="Y218" s="22" t="str">
        <f t="shared" si="61"/>
        <v/>
      </c>
      <c r="Z218" s="100" t="str">
        <f>IF(IFERROR(IF(E218="Y",(W218*(X218-PAR!$C$15)*Y218)*C218,IF(AA218&lt;&gt;"","See Comment",IFERROR(W218*X218*Y218*C218,"Fill all blue cells"))),"Fill all blue cells")&lt;0,0,(IFERROR(IF(E218="Y",(W218*(X218-PAR!$C$15)*Y218)*C218,IF(AA218&lt;&gt;"","See Comment",IFERROR(W218*X218*Y218*C218,"Fill all blue cells"))),"Fill all blue cells")))</f>
        <v>See Comment</v>
      </c>
      <c r="AA218"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8" s="116" t="str">
        <f t="shared" si="69"/>
        <v/>
      </c>
      <c r="AC218" s="20" t="str">
        <f>IF(AND(E218="Y",D218&lt;PAR!C219),"Non bus miles are less than the minumum of 10 (see column D)",IF(AND(E218="Y",F218&lt;&gt;""),"Non Bus Miles",""))</f>
        <v/>
      </c>
      <c r="AD218" s="20" t="str">
        <f t="shared" si="70"/>
        <v/>
      </c>
      <c r="AE218" s="20" t="str">
        <f t="shared" si="62"/>
        <v>Fill Rated Capacity (see column J),</v>
      </c>
      <c r="AF218" s="20" t="str">
        <f t="shared" si="63"/>
        <v/>
      </c>
      <c r="AG218" s="20" t="str">
        <f t="shared" si="64"/>
        <v>Fill reimbursement % for this LE (see column C)</v>
      </c>
      <c r="AH218" s="20" t="str">
        <f t="shared" si="65"/>
        <v>This route has no eligible riders (see columns L:O)</v>
      </c>
      <c r="AI218" s="20" t="str">
        <f t="shared" si="66"/>
        <v>Fill miles per day (see column D)</v>
      </c>
      <c r="AJ218" s="20" t="str">
        <f t="shared" si="71"/>
        <v>Fill number of operating days (see column F)</v>
      </c>
      <c r="AK218" s="20" t="str">
        <f t="shared" si="72"/>
        <v>Fill Non-Bus Miles with Y or N (See column E)</v>
      </c>
      <c r="AL218" s="98" t="s">
        <v>422</v>
      </c>
      <c r="AM218" s="20" t="str">
        <f t="shared" si="73"/>
        <v/>
      </c>
    </row>
    <row r="219" spans="1:39" x14ac:dyDescent="0.75">
      <c r="A219" s="1" t="s">
        <v>304</v>
      </c>
      <c r="B219" s="130"/>
      <c r="C219" s="36"/>
      <c r="D219" s="42"/>
      <c r="E219" s="47"/>
      <c r="F219" s="44"/>
      <c r="G219" s="35"/>
      <c r="H219" s="18" t="s">
        <v>50</v>
      </c>
      <c r="I219" s="125"/>
      <c r="J219" s="35"/>
      <c r="K219" s="18" t="str">
        <f t="shared" si="57"/>
        <v/>
      </c>
      <c r="L219" s="38"/>
      <c r="M219" s="38"/>
      <c r="N219" s="38"/>
      <c r="O219" s="38"/>
      <c r="P219" s="18" t="str">
        <f t="shared" si="67"/>
        <v/>
      </c>
      <c r="Q219" s="38"/>
      <c r="R219" s="38"/>
      <c r="S219" s="38"/>
      <c r="T219" s="38"/>
      <c r="U219" s="18">
        <f t="shared" si="58"/>
        <v>0</v>
      </c>
      <c r="V219" s="18" t="str">
        <f t="shared" si="59"/>
        <v/>
      </c>
      <c r="W219" s="18" t="str">
        <f>IF(E219="Y",PAR!$C$12,IF(J219="","",IF(J219&lt;11,PAR!$C$6,IF(J219&lt;50,PAR!$C$7,IF(J219&lt;60,PAR!$C$8,IF(J219&lt;70,PAR!$C$9,IF(J219&lt;80,PAR!$C$10,IF(J219&gt;79,PAR!$C$11,0))))))))</f>
        <v/>
      </c>
      <c r="X219" s="18" t="str">
        <f t="shared" si="60"/>
        <v/>
      </c>
      <c r="Y219" s="21" t="str">
        <f t="shared" si="61"/>
        <v/>
      </c>
      <c r="Z219" s="100" t="str">
        <f>IF(IFERROR(IF(E219="Y",(W219*(X219-PAR!$C$15)*Y219)*C219,IF(AA219&lt;&gt;"","See Comment",IFERROR(W219*X219*Y219*C219,"Fill all blue cells"))),"Fill all blue cells")&lt;0,0,(IFERROR(IF(E219="Y",(W219*(X219-PAR!$C$15)*Y219)*C219,IF(AA219&lt;&gt;"","See Comment",IFERROR(W219*X219*Y219*C219,"Fill all blue cells"))),"Fill all blue cells")))</f>
        <v>See Comment</v>
      </c>
      <c r="AA219"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9" s="116" t="str">
        <f t="shared" si="69"/>
        <v/>
      </c>
      <c r="AC219" s="20" t="str">
        <f>IF(AND(E219="Y",D219&lt;PAR!C220),"Non bus miles are less than the minumum of 10 (see column D)",IF(AND(E219="Y",F219&lt;&gt;""),"Non Bus Miles",""))</f>
        <v/>
      </c>
      <c r="AD219" s="20" t="str">
        <f t="shared" si="70"/>
        <v/>
      </c>
      <c r="AE219" s="20" t="str">
        <f t="shared" si="62"/>
        <v>Fill Rated Capacity (see column J),</v>
      </c>
      <c r="AF219" s="20" t="str">
        <f t="shared" si="63"/>
        <v/>
      </c>
      <c r="AG219" s="20" t="str">
        <f t="shared" si="64"/>
        <v>Fill reimbursement % for this LE (see column C)</v>
      </c>
      <c r="AH219" s="20" t="str">
        <f t="shared" si="65"/>
        <v>This route has no eligible riders (see columns L:O)</v>
      </c>
      <c r="AI219" s="20" t="str">
        <f t="shared" si="66"/>
        <v>Fill miles per day (see column D)</v>
      </c>
      <c r="AJ219" s="20" t="str">
        <f t="shared" si="71"/>
        <v>Fill number of operating days (see column F)</v>
      </c>
      <c r="AK219" s="20" t="str">
        <f t="shared" si="72"/>
        <v>Fill Non-Bus Miles with Y or N (See column E)</v>
      </c>
      <c r="AL219" s="98" t="s">
        <v>422</v>
      </c>
      <c r="AM219" s="20" t="str">
        <f t="shared" si="73"/>
        <v/>
      </c>
    </row>
    <row r="220" spans="1:39" x14ac:dyDescent="0.75">
      <c r="A220" s="1" t="s">
        <v>305</v>
      </c>
      <c r="B220" s="130"/>
      <c r="C220" s="33"/>
      <c r="D220" s="41"/>
      <c r="E220" s="48"/>
      <c r="F220" s="45"/>
      <c r="G220" s="32"/>
      <c r="H220" s="16" t="s">
        <v>50</v>
      </c>
      <c r="I220" s="126"/>
      <c r="J220" s="32"/>
      <c r="K220" s="16" t="str">
        <f t="shared" si="57"/>
        <v/>
      </c>
      <c r="L220" s="37"/>
      <c r="M220" s="37"/>
      <c r="N220" s="37"/>
      <c r="O220" s="37"/>
      <c r="P220" s="16" t="str">
        <f t="shared" si="67"/>
        <v/>
      </c>
      <c r="Q220" s="37"/>
      <c r="R220" s="37"/>
      <c r="S220" s="37"/>
      <c r="T220" s="37"/>
      <c r="U220" s="16">
        <f t="shared" si="58"/>
        <v>0</v>
      </c>
      <c r="V220" s="16" t="str">
        <f t="shared" si="59"/>
        <v/>
      </c>
      <c r="W220" s="16" t="str">
        <f>IF(E220="Y",PAR!$C$12,IF(J220="","",IF(J220&lt;11,PAR!$C$6,IF(J220&lt;50,PAR!$C$7,IF(J220&lt;60,PAR!$C$8,IF(J220&lt;70,PAR!$C$9,IF(J220&lt;80,PAR!$C$10,IF(J220&gt;79,PAR!$C$11,0))))))))</f>
        <v/>
      </c>
      <c r="X220" s="16" t="str">
        <f t="shared" si="60"/>
        <v/>
      </c>
      <c r="Y220" s="22" t="str">
        <f t="shared" si="61"/>
        <v/>
      </c>
      <c r="Z220" s="100" t="str">
        <f>IF(IFERROR(IF(E220="Y",(W220*(X220-PAR!$C$15)*Y220)*C220,IF(AA220&lt;&gt;"","See Comment",IFERROR(W220*X220*Y220*C220,"Fill all blue cells"))),"Fill all blue cells")&lt;0,0,(IFERROR(IF(E220="Y",(W220*(X220-PAR!$C$15)*Y220)*C220,IF(AA220&lt;&gt;"","See Comment",IFERROR(W220*X220*Y220*C220,"Fill all blue cells"))),"Fill all blue cells")))</f>
        <v>See Comment</v>
      </c>
      <c r="AA220"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0" s="116" t="str">
        <f t="shared" si="69"/>
        <v/>
      </c>
      <c r="AC220" s="20" t="str">
        <f>IF(AND(E220="Y",D220&lt;PAR!C221),"Non bus miles are less than the minumum of 10 (see column D)",IF(AND(E220="Y",F220&lt;&gt;""),"Non Bus Miles",""))</f>
        <v/>
      </c>
      <c r="AD220" s="20" t="str">
        <f t="shared" si="70"/>
        <v/>
      </c>
      <c r="AE220" s="20" t="str">
        <f t="shared" si="62"/>
        <v>Fill Rated Capacity (see column J),</v>
      </c>
      <c r="AF220" s="20" t="str">
        <f t="shared" si="63"/>
        <v/>
      </c>
      <c r="AG220" s="20" t="str">
        <f t="shared" si="64"/>
        <v>Fill reimbursement % for this LE (see column C)</v>
      </c>
      <c r="AH220" s="20" t="str">
        <f t="shared" si="65"/>
        <v>This route has no eligible riders (see columns L:O)</v>
      </c>
      <c r="AI220" s="20" t="str">
        <f t="shared" si="66"/>
        <v>Fill miles per day (see column D)</v>
      </c>
      <c r="AJ220" s="20" t="str">
        <f t="shared" si="71"/>
        <v>Fill number of operating days (see column F)</v>
      </c>
      <c r="AK220" s="20" t="str">
        <f t="shared" si="72"/>
        <v>Fill Non-Bus Miles with Y or N (See column E)</v>
      </c>
      <c r="AL220" s="98" t="s">
        <v>422</v>
      </c>
      <c r="AM220" s="20" t="str">
        <f t="shared" si="73"/>
        <v/>
      </c>
    </row>
    <row r="221" spans="1:39" x14ac:dyDescent="0.75">
      <c r="A221" s="1" t="s">
        <v>306</v>
      </c>
      <c r="B221" s="130"/>
      <c r="C221" s="36"/>
      <c r="D221" s="42"/>
      <c r="E221" s="47"/>
      <c r="F221" s="44"/>
      <c r="G221" s="35"/>
      <c r="H221" s="18" t="s">
        <v>50</v>
      </c>
      <c r="I221" s="125"/>
      <c r="J221" s="35"/>
      <c r="K221" s="18" t="str">
        <f t="shared" si="57"/>
        <v/>
      </c>
      <c r="L221" s="38"/>
      <c r="M221" s="38"/>
      <c r="N221" s="38"/>
      <c r="O221" s="38"/>
      <c r="P221" s="18" t="str">
        <f t="shared" si="67"/>
        <v/>
      </c>
      <c r="Q221" s="38"/>
      <c r="R221" s="38"/>
      <c r="S221" s="38"/>
      <c r="T221" s="38"/>
      <c r="U221" s="18">
        <f t="shared" si="58"/>
        <v>0</v>
      </c>
      <c r="V221" s="18" t="str">
        <f t="shared" si="59"/>
        <v/>
      </c>
      <c r="W221" s="18" t="str">
        <f>IF(E221="Y",PAR!$C$12,IF(J221="","",IF(J221&lt;11,PAR!$C$6,IF(J221&lt;50,PAR!$C$7,IF(J221&lt;60,PAR!$C$8,IF(J221&lt;70,PAR!$C$9,IF(J221&lt;80,PAR!$C$10,IF(J221&gt;79,PAR!$C$11,0))))))))</f>
        <v/>
      </c>
      <c r="X221" s="18" t="str">
        <f t="shared" si="60"/>
        <v/>
      </c>
      <c r="Y221" s="21" t="str">
        <f t="shared" si="61"/>
        <v/>
      </c>
      <c r="Z221" s="100" t="str">
        <f>IF(IFERROR(IF(E221="Y",(W221*(X221-PAR!$C$15)*Y221)*C221,IF(AA221&lt;&gt;"","See Comment",IFERROR(W221*X221*Y221*C221,"Fill all blue cells"))),"Fill all blue cells")&lt;0,0,(IFERROR(IF(E221="Y",(W221*(X221-PAR!$C$15)*Y221)*C221,IF(AA221&lt;&gt;"","See Comment",IFERROR(W221*X221*Y221*C221,"Fill all blue cells"))),"Fill all blue cells")))</f>
        <v>See Comment</v>
      </c>
      <c r="AA221"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1" s="116" t="str">
        <f t="shared" si="69"/>
        <v/>
      </c>
      <c r="AC221" s="20" t="str">
        <f>IF(AND(E221="Y",D221&lt;PAR!C222),"Non bus miles are less than the minumum of 10 (see column D)",IF(AND(E221="Y",F221&lt;&gt;""),"Non Bus Miles",""))</f>
        <v/>
      </c>
      <c r="AD221" s="20" t="str">
        <f t="shared" si="70"/>
        <v/>
      </c>
      <c r="AE221" s="20" t="str">
        <f t="shared" si="62"/>
        <v>Fill Rated Capacity (see column J),</v>
      </c>
      <c r="AF221" s="20" t="str">
        <f t="shared" si="63"/>
        <v/>
      </c>
      <c r="AG221" s="20" t="str">
        <f t="shared" si="64"/>
        <v>Fill reimbursement % for this LE (see column C)</v>
      </c>
      <c r="AH221" s="20" t="str">
        <f t="shared" si="65"/>
        <v>This route has no eligible riders (see columns L:O)</v>
      </c>
      <c r="AI221" s="20" t="str">
        <f t="shared" si="66"/>
        <v>Fill miles per day (see column D)</v>
      </c>
      <c r="AJ221" s="20" t="str">
        <f t="shared" si="71"/>
        <v>Fill number of operating days (see column F)</v>
      </c>
      <c r="AK221" s="20" t="str">
        <f t="shared" si="72"/>
        <v>Fill Non-Bus Miles with Y or N (See column E)</v>
      </c>
      <c r="AL221" s="98" t="s">
        <v>422</v>
      </c>
      <c r="AM221" s="20" t="str">
        <f t="shared" si="73"/>
        <v/>
      </c>
    </row>
    <row r="222" spans="1:39" x14ac:dyDescent="0.75">
      <c r="A222" s="1" t="s">
        <v>307</v>
      </c>
      <c r="B222" s="130"/>
      <c r="C222" s="33"/>
      <c r="D222" s="41"/>
      <c r="E222" s="48"/>
      <c r="F222" s="45"/>
      <c r="G222" s="32"/>
      <c r="H222" s="16" t="s">
        <v>50</v>
      </c>
      <c r="I222" s="126"/>
      <c r="J222" s="32"/>
      <c r="K222" s="16" t="str">
        <f t="shared" si="57"/>
        <v/>
      </c>
      <c r="L222" s="37"/>
      <c r="M222" s="37"/>
      <c r="N222" s="37"/>
      <c r="O222" s="37"/>
      <c r="P222" s="16" t="str">
        <f t="shared" si="67"/>
        <v/>
      </c>
      <c r="Q222" s="37"/>
      <c r="R222" s="37"/>
      <c r="S222" s="37"/>
      <c r="T222" s="37"/>
      <c r="U222" s="16">
        <f t="shared" si="58"/>
        <v>0</v>
      </c>
      <c r="V222" s="16" t="str">
        <f t="shared" si="59"/>
        <v/>
      </c>
      <c r="W222" s="16" t="str">
        <f>IF(E222="Y",PAR!$C$12,IF(J222="","",IF(J222&lt;11,PAR!$C$6,IF(J222&lt;50,PAR!$C$7,IF(J222&lt;60,PAR!$C$8,IF(J222&lt;70,PAR!$C$9,IF(J222&lt;80,PAR!$C$10,IF(J222&gt;79,PAR!$C$11,0))))))))</f>
        <v/>
      </c>
      <c r="X222" s="16" t="str">
        <f t="shared" si="60"/>
        <v/>
      </c>
      <c r="Y222" s="22" t="str">
        <f t="shared" si="61"/>
        <v/>
      </c>
      <c r="Z222" s="100" t="str">
        <f>IF(IFERROR(IF(E222="Y",(W222*(X222-PAR!$C$15)*Y222)*C222,IF(AA222&lt;&gt;"","See Comment",IFERROR(W222*X222*Y222*C222,"Fill all blue cells"))),"Fill all blue cells")&lt;0,0,(IFERROR(IF(E222="Y",(W222*(X222-PAR!$C$15)*Y222)*C222,IF(AA222&lt;&gt;"","See Comment",IFERROR(W222*X222*Y222*C222,"Fill all blue cells"))),"Fill all blue cells")))</f>
        <v>See Comment</v>
      </c>
      <c r="AA222"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2" s="116" t="str">
        <f t="shared" si="69"/>
        <v/>
      </c>
      <c r="AC222" s="20" t="str">
        <f>IF(AND(E222="Y",D222&lt;PAR!C223),"Non bus miles are less than the minumum of 10 (see column D)",IF(AND(E222="Y",F222&lt;&gt;""),"Non Bus Miles",""))</f>
        <v/>
      </c>
      <c r="AD222" s="20" t="str">
        <f t="shared" si="70"/>
        <v/>
      </c>
      <c r="AE222" s="20" t="str">
        <f t="shared" si="62"/>
        <v>Fill Rated Capacity (see column J),</v>
      </c>
      <c r="AF222" s="20" t="str">
        <f t="shared" si="63"/>
        <v/>
      </c>
      <c r="AG222" s="20" t="str">
        <f t="shared" si="64"/>
        <v>Fill reimbursement % for this LE (see column C)</v>
      </c>
      <c r="AH222" s="20" t="str">
        <f t="shared" si="65"/>
        <v>This route has no eligible riders (see columns L:O)</v>
      </c>
      <c r="AI222" s="20" t="str">
        <f t="shared" si="66"/>
        <v>Fill miles per day (see column D)</v>
      </c>
      <c r="AJ222" s="20" t="str">
        <f t="shared" si="71"/>
        <v>Fill number of operating days (see column F)</v>
      </c>
      <c r="AK222" s="20" t="str">
        <f t="shared" si="72"/>
        <v>Fill Non-Bus Miles with Y or N (See column E)</v>
      </c>
      <c r="AL222" s="98" t="s">
        <v>422</v>
      </c>
      <c r="AM222" s="20" t="str">
        <f t="shared" si="73"/>
        <v/>
      </c>
    </row>
    <row r="223" spans="1:39" x14ac:dyDescent="0.75">
      <c r="A223" s="1" t="s">
        <v>308</v>
      </c>
      <c r="B223" s="130"/>
      <c r="C223" s="36"/>
      <c r="D223" s="42"/>
      <c r="E223" s="47"/>
      <c r="F223" s="44"/>
      <c r="G223" s="35"/>
      <c r="H223" s="18" t="s">
        <v>50</v>
      </c>
      <c r="I223" s="125"/>
      <c r="J223" s="35"/>
      <c r="K223" s="18" t="str">
        <f t="shared" si="57"/>
        <v/>
      </c>
      <c r="L223" s="38"/>
      <c r="M223" s="38"/>
      <c r="N223" s="38"/>
      <c r="O223" s="38"/>
      <c r="P223" s="18" t="str">
        <f t="shared" si="67"/>
        <v/>
      </c>
      <c r="Q223" s="38"/>
      <c r="R223" s="38"/>
      <c r="S223" s="38"/>
      <c r="T223" s="38"/>
      <c r="U223" s="18">
        <f t="shared" si="58"/>
        <v>0</v>
      </c>
      <c r="V223" s="18" t="str">
        <f t="shared" si="59"/>
        <v/>
      </c>
      <c r="W223" s="18" t="str">
        <f>IF(E223="Y",PAR!$C$12,IF(J223="","",IF(J223&lt;11,PAR!$C$6,IF(J223&lt;50,PAR!$C$7,IF(J223&lt;60,PAR!$C$8,IF(J223&lt;70,PAR!$C$9,IF(J223&lt;80,PAR!$C$10,IF(J223&gt;79,PAR!$C$11,0))))))))</f>
        <v/>
      </c>
      <c r="X223" s="18" t="str">
        <f t="shared" si="60"/>
        <v/>
      </c>
      <c r="Y223" s="21" t="str">
        <f t="shared" si="61"/>
        <v/>
      </c>
      <c r="Z223" s="100" t="str">
        <f>IF(IFERROR(IF(E223="Y",(W223*(X223-PAR!$C$15)*Y223)*C223,IF(AA223&lt;&gt;"","See Comment",IFERROR(W223*X223*Y223*C223,"Fill all blue cells"))),"Fill all blue cells")&lt;0,0,(IFERROR(IF(E223="Y",(W223*(X223-PAR!$C$15)*Y223)*C223,IF(AA223&lt;&gt;"","See Comment",IFERROR(W223*X223*Y223*C223,"Fill all blue cells"))),"Fill all blue cells")))</f>
        <v>See Comment</v>
      </c>
      <c r="AA223"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3" s="116" t="str">
        <f t="shared" si="69"/>
        <v/>
      </c>
      <c r="AC223" s="20" t="str">
        <f>IF(AND(E223="Y",D223&lt;PAR!C224),"Non bus miles are less than the minumum of 10 (see column D)",IF(AND(E223="Y",F223&lt;&gt;""),"Non Bus Miles",""))</f>
        <v/>
      </c>
      <c r="AD223" s="20" t="str">
        <f t="shared" si="70"/>
        <v/>
      </c>
      <c r="AE223" s="20" t="str">
        <f t="shared" si="62"/>
        <v>Fill Rated Capacity (see column J),</v>
      </c>
      <c r="AF223" s="20" t="str">
        <f t="shared" si="63"/>
        <v/>
      </c>
      <c r="AG223" s="20" t="str">
        <f t="shared" si="64"/>
        <v>Fill reimbursement % for this LE (see column C)</v>
      </c>
      <c r="AH223" s="20" t="str">
        <f t="shared" si="65"/>
        <v>This route has no eligible riders (see columns L:O)</v>
      </c>
      <c r="AI223" s="20" t="str">
        <f t="shared" si="66"/>
        <v>Fill miles per day (see column D)</v>
      </c>
      <c r="AJ223" s="20" t="str">
        <f t="shared" si="71"/>
        <v>Fill number of operating days (see column F)</v>
      </c>
      <c r="AK223" s="20" t="str">
        <f t="shared" si="72"/>
        <v>Fill Non-Bus Miles with Y or N (See column E)</v>
      </c>
      <c r="AL223" s="98" t="s">
        <v>422</v>
      </c>
      <c r="AM223" s="20" t="str">
        <f t="shared" si="73"/>
        <v/>
      </c>
    </row>
    <row r="224" spans="1:39" x14ac:dyDescent="0.75">
      <c r="A224" s="1" t="s">
        <v>309</v>
      </c>
      <c r="B224" s="130"/>
      <c r="C224" s="33"/>
      <c r="D224" s="41"/>
      <c r="E224" s="48"/>
      <c r="F224" s="45"/>
      <c r="G224" s="32"/>
      <c r="H224" s="16" t="s">
        <v>50</v>
      </c>
      <c r="I224" s="126"/>
      <c r="J224" s="32"/>
      <c r="K224" s="16" t="str">
        <f t="shared" si="57"/>
        <v/>
      </c>
      <c r="L224" s="37"/>
      <c r="M224" s="37"/>
      <c r="N224" s="37"/>
      <c r="O224" s="37"/>
      <c r="P224" s="16" t="str">
        <f t="shared" si="67"/>
        <v/>
      </c>
      <c r="Q224" s="37"/>
      <c r="R224" s="37"/>
      <c r="S224" s="37"/>
      <c r="T224" s="37"/>
      <c r="U224" s="16">
        <f t="shared" si="58"/>
        <v>0</v>
      </c>
      <c r="V224" s="16" t="str">
        <f t="shared" si="59"/>
        <v/>
      </c>
      <c r="W224" s="16" t="str">
        <f>IF(E224="Y",PAR!$C$12,IF(J224="","",IF(J224&lt;11,PAR!$C$6,IF(J224&lt;50,PAR!$C$7,IF(J224&lt;60,PAR!$C$8,IF(J224&lt;70,PAR!$C$9,IF(J224&lt;80,PAR!$C$10,IF(J224&gt;79,PAR!$C$11,0))))))))</f>
        <v/>
      </c>
      <c r="X224" s="16" t="str">
        <f t="shared" si="60"/>
        <v/>
      </c>
      <c r="Y224" s="22" t="str">
        <f t="shared" si="61"/>
        <v/>
      </c>
      <c r="Z224" s="100" t="str">
        <f>IF(IFERROR(IF(E224="Y",(W224*(X224-PAR!$C$15)*Y224)*C224,IF(AA224&lt;&gt;"","See Comment",IFERROR(W224*X224*Y224*C224,"Fill all blue cells"))),"Fill all blue cells")&lt;0,0,(IFERROR(IF(E224="Y",(W224*(X224-PAR!$C$15)*Y224)*C224,IF(AA224&lt;&gt;"","See Comment",IFERROR(W224*X224*Y224*C224,"Fill all blue cells"))),"Fill all blue cells")))</f>
        <v>See Comment</v>
      </c>
      <c r="AA224"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4" s="116" t="str">
        <f t="shared" si="69"/>
        <v/>
      </c>
      <c r="AC224" s="20" t="str">
        <f>IF(AND(E224="Y",D224&lt;PAR!C225),"Non bus miles are less than the minumum of 10 (see column D)",IF(AND(E224="Y",F224&lt;&gt;""),"Non Bus Miles",""))</f>
        <v/>
      </c>
      <c r="AD224" s="20" t="str">
        <f t="shared" si="70"/>
        <v/>
      </c>
      <c r="AE224" s="20" t="str">
        <f t="shared" si="62"/>
        <v>Fill Rated Capacity (see column J),</v>
      </c>
      <c r="AF224" s="20" t="str">
        <f t="shared" si="63"/>
        <v/>
      </c>
      <c r="AG224" s="20" t="str">
        <f t="shared" si="64"/>
        <v>Fill reimbursement % for this LE (see column C)</v>
      </c>
      <c r="AH224" s="20" t="str">
        <f t="shared" si="65"/>
        <v>This route has no eligible riders (see columns L:O)</v>
      </c>
      <c r="AI224" s="20" t="str">
        <f t="shared" si="66"/>
        <v>Fill miles per day (see column D)</v>
      </c>
      <c r="AJ224" s="20" t="str">
        <f t="shared" si="71"/>
        <v>Fill number of operating days (see column F)</v>
      </c>
      <c r="AK224" s="20" t="str">
        <f t="shared" si="72"/>
        <v>Fill Non-Bus Miles with Y or N (See column E)</v>
      </c>
      <c r="AL224" s="98" t="s">
        <v>422</v>
      </c>
      <c r="AM224" s="20" t="str">
        <f t="shared" si="73"/>
        <v/>
      </c>
    </row>
    <row r="225" spans="1:39" x14ac:dyDescent="0.75">
      <c r="A225" s="1" t="s">
        <v>310</v>
      </c>
      <c r="B225" s="130"/>
      <c r="C225" s="36"/>
      <c r="D225" s="42"/>
      <c r="E225" s="47"/>
      <c r="F225" s="44"/>
      <c r="G225" s="35"/>
      <c r="H225" s="18" t="s">
        <v>50</v>
      </c>
      <c r="I225" s="125"/>
      <c r="J225" s="35"/>
      <c r="K225" s="18" t="str">
        <f t="shared" si="57"/>
        <v/>
      </c>
      <c r="L225" s="38"/>
      <c r="M225" s="38"/>
      <c r="N225" s="38"/>
      <c r="O225" s="38"/>
      <c r="P225" s="18" t="str">
        <f t="shared" si="67"/>
        <v/>
      </c>
      <c r="Q225" s="38"/>
      <c r="R225" s="38"/>
      <c r="S225" s="38"/>
      <c r="T225" s="38"/>
      <c r="U225" s="18">
        <f t="shared" si="58"/>
        <v>0</v>
      </c>
      <c r="V225" s="18" t="str">
        <f t="shared" si="59"/>
        <v/>
      </c>
      <c r="W225" s="18" t="str">
        <f>IF(E225="Y",PAR!$C$12,IF(J225="","",IF(J225&lt;11,PAR!$C$6,IF(J225&lt;50,PAR!$C$7,IF(J225&lt;60,PAR!$C$8,IF(J225&lt;70,PAR!$C$9,IF(J225&lt;80,PAR!$C$10,IF(J225&gt;79,PAR!$C$11,0))))))))</f>
        <v/>
      </c>
      <c r="X225" s="18" t="str">
        <f t="shared" si="60"/>
        <v/>
      </c>
      <c r="Y225" s="21" t="str">
        <f t="shared" si="61"/>
        <v/>
      </c>
      <c r="Z225" s="100" t="str">
        <f>IF(IFERROR(IF(E225="Y",(W225*(X225-PAR!$C$15)*Y225)*C225,IF(AA225&lt;&gt;"","See Comment",IFERROR(W225*X225*Y225*C225,"Fill all blue cells"))),"Fill all blue cells")&lt;0,0,(IFERROR(IF(E225="Y",(W225*(X225-PAR!$C$15)*Y225)*C225,IF(AA225&lt;&gt;"","See Comment",IFERROR(W225*X225*Y225*C225,"Fill all blue cells"))),"Fill all blue cells")))</f>
        <v>See Comment</v>
      </c>
      <c r="AA225"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5" s="116" t="str">
        <f t="shared" si="69"/>
        <v/>
      </c>
      <c r="AC225" s="20" t="str">
        <f>IF(AND(E225="Y",D225&lt;PAR!C226),"Non bus miles are less than the minumum of 10 (see column D)",IF(AND(E225="Y",F225&lt;&gt;""),"Non Bus Miles",""))</f>
        <v/>
      </c>
      <c r="AD225" s="20" t="str">
        <f t="shared" si="70"/>
        <v/>
      </c>
      <c r="AE225" s="20" t="str">
        <f t="shared" si="62"/>
        <v>Fill Rated Capacity (see column J),</v>
      </c>
      <c r="AF225" s="20" t="str">
        <f t="shared" si="63"/>
        <v/>
      </c>
      <c r="AG225" s="20" t="str">
        <f t="shared" si="64"/>
        <v>Fill reimbursement % for this LE (see column C)</v>
      </c>
      <c r="AH225" s="20" t="str">
        <f t="shared" si="65"/>
        <v>This route has no eligible riders (see columns L:O)</v>
      </c>
      <c r="AI225" s="20" t="str">
        <f t="shared" si="66"/>
        <v>Fill miles per day (see column D)</v>
      </c>
      <c r="AJ225" s="20" t="str">
        <f t="shared" si="71"/>
        <v>Fill number of operating days (see column F)</v>
      </c>
      <c r="AK225" s="20" t="str">
        <f t="shared" si="72"/>
        <v>Fill Non-Bus Miles with Y or N (See column E)</v>
      </c>
      <c r="AL225" s="98" t="s">
        <v>422</v>
      </c>
      <c r="AM225" s="20" t="str">
        <f t="shared" si="73"/>
        <v/>
      </c>
    </row>
    <row r="226" spans="1:39" x14ac:dyDescent="0.75">
      <c r="A226" s="1" t="s">
        <v>311</v>
      </c>
      <c r="B226" s="130"/>
      <c r="C226" s="33"/>
      <c r="D226" s="41"/>
      <c r="E226" s="48"/>
      <c r="F226" s="45"/>
      <c r="G226" s="32"/>
      <c r="H226" s="16" t="s">
        <v>50</v>
      </c>
      <c r="I226" s="126"/>
      <c r="J226" s="32"/>
      <c r="K226" s="16" t="str">
        <f t="shared" si="57"/>
        <v/>
      </c>
      <c r="L226" s="37"/>
      <c r="M226" s="37"/>
      <c r="N226" s="37"/>
      <c r="O226" s="37"/>
      <c r="P226" s="16" t="str">
        <f t="shared" si="67"/>
        <v/>
      </c>
      <c r="Q226" s="37"/>
      <c r="R226" s="37"/>
      <c r="S226" s="37"/>
      <c r="T226" s="37"/>
      <c r="U226" s="16">
        <f t="shared" si="58"/>
        <v>0</v>
      </c>
      <c r="V226" s="16" t="str">
        <f t="shared" si="59"/>
        <v/>
      </c>
      <c r="W226" s="16" t="str">
        <f>IF(E226="Y",PAR!$C$12,IF(J226="","",IF(J226&lt;11,PAR!$C$6,IF(J226&lt;50,PAR!$C$7,IF(J226&lt;60,PAR!$C$8,IF(J226&lt;70,PAR!$C$9,IF(J226&lt;80,PAR!$C$10,IF(J226&gt;79,PAR!$C$11,0))))))))</f>
        <v/>
      </c>
      <c r="X226" s="16" t="str">
        <f t="shared" si="60"/>
        <v/>
      </c>
      <c r="Y226" s="22" t="str">
        <f t="shared" si="61"/>
        <v/>
      </c>
      <c r="Z226" s="100" t="str">
        <f>IF(IFERROR(IF(E226="Y",(W226*(X226-PAR!$C$15)*Y226)*C226,IF(AA226&lt;&gt;"","See Comment",IFERROR(W226*X226*Y226*C226,"Fill all blue cells"))),"Fill all blue cells")&lt;0,0,(IFERROR(IF(E226="Y",(W226*(X226-PAR!$C$15)*Y226)*C226,IF(AA226&lt;&gt;"","See Comment",IFERROR(W226*X226*Y226*C226,"Fill all blue cells"))),"Fill all blue cells")))</f>
        <v>See Comment</v>
      </c>
      <c r="AA226"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6" s="116" t="str">
        <f t="shared" si="69"/>
        <v/>
      </c>
      <c r="AC226" s="20" t="str">
        <f>IF(AND(E226="Y",D226&lt;PAR!C227),"Non bus miles are less than the minumum of 10 (see column D)",IF(AND(E226="Y",F226&lt;&gt;""),"Non Bus Miles",""))</f>
        <v/>
      </c>
      <c r="AD226" s="20" t="str">
        <f t="shared" si="70"/>
        <v/>
      </c>
      <c r="AE226" s="20" t="str">
        <f t="shared" si="62"/>
        <v>Fill Rated Capacity (see column J),</v>
      </c>
      <c r="AF226" s="20" t="str">
        <f t="shared" si="63"/>
        <v/>
      </c>
      <c r="AG226" s="20" t="str">
        <f t="shared" si="64"/>
        <v>Fill reimbursement % for this LE (see column C)</v>
      </c>
      <c r="AH226" s="20" t="str">
        <f t="shared" si="65"/>
        <v>This route has no eligible riders (see columns L:O)</v>
      </c>
      <c r="AI226" s="20" t="str">
        <f t="shared" si="66"/>
        <v>Fill miles per day (see column D)</v>
      </c>
      <c r="AJ226" s="20" t="str">
        <f t="shared" si="71"/>
        <v>Fill number of operating days (see column F)</v>
      </c>
      <c r="AK226" s="20" t="str">
        <f t="shared" si="72"/>
        <v>Fill Non-Bus Miles with Y or N (See column E)</v>
      </c>
      <c r="AL226" s="98" t="s">
        <v>422</v>
      </c>
      <c r="AM226" s="20" t="str">
        <f t="shared" si="73"/>
        <v/>
      </c>
    </row>
    <row r="227" spans="1:39" x14ac:dyDescent="0.75">
      <c r="A227" s="1" t="s">
        <v>312</v>
      </c>
      <c r="B227" s="130"/>
      <c r="C227" s="36"/>
      <c r="D227" s="42"/>
      <c r="E227" s="47"/>
      <c r="F227" s="44"/>
      <c r="G227" s="35"/>
      <c r="H227" s="18" t="s">
        <v>50</v>
      </c>
      <c r="I227" s="125"/>
      <c r="J227" s="35"/>
      <c r="K227" s="18" t="str">
        <f t="shared" si="57"/>
        <v/>
      </c>
      <c r="L227" s="38"/>
      <c r="M227" s="38"/>
      <c r="N227" s="38"/>
      <c r="O227" s="38"/>
      <c r="P227" s="18" t="str">
        <f t="shared" si="67"/>
        <v/>
      </c>
      <c r="Q227" s="38"/>
      <c r="R227" s="38"/>
      <c r="S227" s="38"/>
      <c r="T227" s="38"/>
      <c r="U227" s="18">
        <f t="shared" si="58"/>
        <v>0</v>
      </c>
      <c r="V227" s="18" t="str">
        <f t="shared" si="59"/>
        <v/>
      </c>
      <c r="W227" s="18" t="str">
        <f>IF(E227="Y",PAR!$C$12,IF(J227="","",IF(J227&lt;11,PAR!$C$6,IF(J227&lt;50,PAR!$C$7,IF(J227&lt;60,PAR!$C$8,IF(J227&lt;70,PAR!$C$9,IF(J227&lt;80,PAR!$C$10,IF(J227&gt;79,PAR!$C$11,0))))))))</f>
        <v/>
      </c>
      <c r="X227" s="18" t="str">
        <f t="shared" si="60"/>
        <v/>
      </c>
      <c r="Y227" s="21" t="str">
        <f t="shared" si="61"/>
        <v/>
      </c>
      <c r="Z227" s="100" t="str">
        <f>IF(IFERROR(IF(E227="Y",(W227*(X227-PAR!$C$15)*Y227)*C227,IF(AA227&lt;&gt;"","See Comment",IFERROR(W227*X227*Y227*C227,"Fill all blue cells"))),"Fill all blue cells")&lt;0,0,(IFERROR(IF(E227="Y",(W227*(X227-PAR!$C$15)*Y227)*C227,IF(AA227&lt;&gt;"","See Comment",IFERROR(W227*X227*Y227*C227,"Fill all blue cells"))),"Fill all blue cells")))</f>
        <v>See Comment</v>
      </c>
      <c r="AA227"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7" s="116" t="str">
        <f t="shared" si="69"/>
        <v/>
      </c>
      <c r="AC227" s="20" t="str">
        <f>IF(AND(E227="Y",D227&lt;PAR!C228),"Non bus miles are less than the minumum of 10 (see column D)",IF(AND(E227="Y",F227&lt;&gt;""),"Non Bus Miles",""))</f>
        <v/>
      </c>
      <c r="AD227" s="20" t="str">
        <f t="shared" si="70"/>
        <v/>
      </c>
      <c r="AE227" s="20" t="str">
        <f t="shared" si="62"/>
        <v>Fill Rated Capacity (see column J),</v>
      </c>
      <c r="AF227" s="20" t="str">
        <f t="shared" si="63"/>
        <v/>
      </c>
      <c r="AG227" s="20" t="str">
        <f t="shared" si="64"/>
        <v>Fill reimbursement % for this LE (see column C)</v>
      </c>
      <c r="AH227" s="20" t="str">
        <f t="shared" si="65"/>
        <v>This route has no eligible riders (see columns L:O)</v>
      </c>
      <c r="AI227" s="20" t="str">
        <f t="shared" si="66"/>
        <v>Fill miles per day (see column D)</v>
      </c>
      <c r="AJ227" s="20" t="str">
        <f t="shared" si="71"/>
        <v>Fill number of operating days (see column F)</v>
      </c>
      <c r="AK227" s="20" t="str">
        <f t="shared" si="72"/>
        <v>Fill Non-Bus Miles with Y or N (See column E)</v>
      </c>
      <c r="AL227" s="98" t="s">
        <v>422</v>
      </c>
      <c r="AM227" s="20" t="str">
        <f t="shared" si="73"/>
        <v/>
      </c>
    </row>
    <row r="228" spans="1:39" x14ac:dyDescent="0.75">
      <c r="A228" s="1" t="s">
        <v>313</v>
      </c>
      <c r="B228" s="130"/>
      <c r="C228" s="33"/>
      <c r="D228" s="41"/>
      <c r="E228" s="48"/>
      <c r="F228" s="45"/>
      <c r="G228" s="32"/>
      <c r="H228" s="16" t="s">
        <v>50</v>
      </c>
      <c r="I228" s="126"/>
      <c r="J228" s="32"/>
      <c r="K228" s="16" t="str">
        <f t="shared" si="57"/>
        <v/>
      </c>
      <c r="L228" s="37"/>
      <c r="M228" s="37"/>
      <c r="N228" s="37"/>
      <c r="O228" s="37"/>
      <c r="P228" s="16" t="str">
        <f t="shared" si="67"/>
        <v/>
      </c>
      <c r="Q228" s="37"/>
      <c r="R228" s="37"/>
      <c r="S228" s="37"/>
      <c r="T228" s="37"/>
      <c r="U228" s="16">
        <f t="shared" si="58"/>
        <v>0</v>
      </c>
      <c r="V228" s="16" t="str">
        <f t="shared" si="59"/>
        <v/>
      </c>
      <c r="W228" s="16" t="str">
        <f>IF(E228="Y",PAR!$C$12,IF(J228="","",IF(J228&lt;11,PAR!$C$6,IF(J228&lt;50,PAR!$C$7,IF(J228&lt;60,PAR!$C$8,IF(J228&lt;70,PAR!$C$9,IF(J228&lt;80,PAR!$C$10,IF(J228&gt;79,PAR!$C$11,0))))))))</f>
        <v/>
      </c>
      <c r="X228" s="16" t="str">
        <f t="shared" si="60"/>
        <v/>
      </c>
      <c r="Y228" s="22" t="str">
        <f t="shared" si="61"/>
        <v/>
      </c>
      <c r="Z228" s="100" t="str">
        <f>IF(IFERROR(IF(E228="Y",(W228*(X228-PAR!$C$15)*Y228)*C228,IF(AA228&lt;&gt;"","See Comment",IFERROR(W228*X228*Y228*C228,"Fill all blue cells"))),"Fill all blue cells")&lt;0,0,(IFERROR(IF(E228="Y",(W228*(X228-PAR!$C$15)*Y228)*C228,IF(AA228&lt;&gt;"","See Comment",IFERROR(W228*X228*Y228*C228,"Fill all blue cells"))),"Fill all blue cells")))</f>
        <v>See Comment</v>
      </c>
      <c r="AA228"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8" s="116" t="str">
        <f t="shared" si="69"/>
        <v/>
      </c>
      <c r="AC228" s="20" t="str">
        <f>IF(AND(E228="Y",D228&lt;PAR!C229),"Non bus miles are less than the minumum of 10 (see column D)",IF(AND(E228="Y",F228&lt;&gt;""),"Non Bus Miles",""))</f>
        <v/>
      </c>
      <c r="AD228" s="20" t="str">
        <f t="shared" si="70"/>
        <v/>
      </c>
      <c r="AE228" s="20" t="str">
        <f t="shared" si="62"/>
        <v>Fill Rated Capacity (see column J),</v>
      </c>
      <c r="AF228" s="20" t="str">
        <f t="shared" si="63"/>
        <v/>
      </c>
      <c r="AG228" s="20" t="str">
        <f t="shared" si="64"/>
        <v>Fill reimbursement % for this LE (see column C)</v>
      </c>
      <c r="AH228" s="20" t="str">
        <f t="shared" si="65"/>
        <v>This route has no eligible riders (see columns L:O)</v>
      </c>
      <c r="AI228" s="20" t="str">
        <f t="shared" si="66"/>
        <v>Fill miles per day (see column D)</v>
      </c>
      <c r="AJ228" s="20" t="str">
        <f t="shared" si="71"/>
        <v>Fill number of operating days (see column F)</v>
      </c>
      <c r="AK228" s="20" t="str">
        <f t="shared" si="72"/>
        <v>Fill Non-Bus Miles with Y or N (See column E)</v>
      </c>
      <c r="AL228" s="98" t="s">
        <v>422</v>
      </c>
      <c r="AM228" s="20" t="str">
        <f t="shared" si="73"/>
        <v/>
      </c>
    </row>
    <row r="229" spans="1:39" x14ac:dyDescent="0.75">
      <c r="A229" s="1" t="s">
        <v>314</v>
      </c>
      <c r="B229" s="130"/>
      <c r="C229" s="36"/>
      <c r="D229" s="42"/>
      <c r="E229" s="47"/>
      <c r="F229" s="44"/>
      <c r="G229" s="35"/>
      <c r="H229" s="18" t="s">
        <v>50</v>
      </c>
      <c r="I229" s="125"/>
      <c r="J229" s="35"/>
      <c r="K229" s="18" t="str">
        <f t="shared" si="57"/>
        <v/>
      </c>
      <c r="L229" s="38"/>
      <c r="M229" s="38"/>
      <c r="N229" s="38"/>
      <c r="O229" s="38"/>
      <c r="P229" s="18" t="str">
        <f t="shared" si="67"/>
        <v/>
      </c>
      <c r="Q229" s="38"/>
      <c r="R229" s="38"/>
      <c r="S229" s="38"/>
      <c r="T229" s="38"/>
      <c r="U229" s="18">
        <f t="shared" si="58"/>
        <v>0</v>
      </c>
      <c r="V229" s="18" t="str">
        <f t="shared" si="59"/>
        <v/>
      </c>
      <c r="W229" s="18" t="str">
        <f>IF(E229="Y",PAR!$C$12,IF(J229="","",IF(J229&lt;11,PAR!$C$6,IF(J229&lt;50,PAR!$C$7,IF(J229&lt;60,PAR!$C$8,IF(J229&lt;70,PAR!$C$9,IF(J229&lt;80,PAR!$C$10,IF(J229&gt;79,PAR!$C$11,0))))))))</f>
        <v/>
      </c>
      <c r="X229" s="18" t="str">
        <f t="shared" si="60"/>
        <v/>
      </c>
      <c r="Y229" s="21" t="str">
        <f t="shared" si="61"/>
        <v/>
      </c>
      <c r="Z229" s="100" t="str">
        <f>IF(IFERROR(IF(E229="Y",(W229*(X229-PAR!$C$15)*Y229)*C229,IF(AA229&lt;&gt;"","See Comment",IFERROR(W229*X229*Y229*C229,"Fill all blue cells"))),"Fill all blue cells")&lt;0,0,(IFERROR(IF(E229="Y",(W229*(X229-PAR!$C$15)*Y229)*C229,IF(AA229&lt;&gt;"","See Comment",IFERROR(W229*X229*Y229*C229,"Fill all blue cells"))),"Fill all blue cells")))</f>
        <v>See Comment</v>
      </c>
      <c r="AA229"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9" s="116" t="str">
        <f t="shared" si="69"/>
        <v/>
      </c>
      <c r="AC229" s="20" t="str">
        <f>IF(AND(E229="Y",D229&lt;PAR!C230),"Non bus miles are less than the minumum of 10 (see column D)",IF(AND(E229="Y",F229&lt;&gt;""),"Non Bus Miles",""))</f>
        <v/>
      </c>
      <c r="AD229" s="20" t="str">
        <f t="shared" si="70"/>
        <v/>
      </c>
      <c r="AE229" s="20" t="str">
        <f t="shared" si="62"/>
        <v>Fill Rated Capacity (see column J),</v>
      </c>
      <c r="AF229" s="20" t="str">
        <f t="shared" si="63"/>
        <v/>
      </c>
      <c r="AG229" s="20" t="str">
        <f t="shared" si="64"/>
        <v>Fill reimbursement % for this LE (see column C)</v>
      </c>
      <c r="AH229" s="20" t="str">
        <f t="shared" si="65"/>
        <v>This route has no eligible riders (see columns L:O)</v>
      </c>
      <c r="AI229" s="20" t="str">
        <f t="shared" si="66"/>
        <v>Fill miles per day (see column D)</v>
      </c>
      <c r="AJ229" s="20" t="str">
        <f t="shared" si="71"/>
        <v>Fill number of operating days (see column F)</v>
      </c>
      <c r="AK229" s="20" t="str">
        <f t="shared" si="72"/>
        <v>Fill Non-Bus Miles with Y or N (See column E)</v>
      </c>
      <c r="AL229" s="98" t="s">
        <v>422</v>
      </c>
      <c r="AM229" s="20" t="str">
        <f t="shared" si="73"/>
        <v/>
      </c>
    </row>
    <row r="230" spans="1:39" x14ac:dyDescent="0.75">
      <c r="A230" s="1" t="s">
        <v>315</v>
      </c>
      <c r="B230" s="130"/>
      <c r="C230" s="33"/>
      <c r="D230" s="41"/>
      <c r="E230" s="48"/>
      <c r="F230" s="45"/>
      <c r="G230" s="32"/>
      <c r="H230" s="16" t="s">
        <v>50</v>
      </c>
      <c r="I230" s="126"/>
      <c r="J230" s="32"/>
      <c r="K230" s="16" t="str">
        <f t="shared" si="57"/>
        <v/>
      </c>
      <c r="L230" s="37"/>
      <c r="M230" s="37"/>
      <c r="N230" s="37"/>
      <c r="O230" s="37"/>
      <c r="P230" s="16" t="str">
        <f t="shared" si="67"/>
        <v/>
      </c>
      <c r="Q230" s="37"/>
      <c r="R230" s="37"/>
      <c r="S230" s="37"/>
      <c r="T230" s="37"/>
      <c r="U230" s="16">
        <f t="shared" si="58"/>
        <v>0</v>
      </c>
      <c r="V230" s="16" t="str">
        <f t="shared" si="59"/>
        <v/>
      </c>
      <c r="W230" s="16" t="str">
        <f>IF(E230="Y",PAR!$C$12,IF(J230="","",IF(J230&lt;11,PAR!$C$6,IF(J230&lt;50,PAR!$C$7,IF(J230&lt;60,PAR!$C$8,IF(J230&lt;70,PAR!$C$9,IF(J230&lt;80,PAR!$C$10,IF(J230&gt;79,PAR!$C$11,0))))))))</f>
        <v/>
      </c>
      <c r="X230" s="16" t="str">
        <f t="shared" si="60"/>
        <v/>
      </c>
      <c r="Y230" s="22" t="str">
        <f t="shared" si="61"/>
        <v/>
      </c>
      <c r="Z230" s="100" t="str">
        <f>IF(IFERROR(IF(E230="Y",(W230*(X230-PAR!$C$15)*Y230)*C230,IF(AA230&lt;&gt;"","See Comment",IFERROR(W230*X230*Y230*C230,"Fill all blue cells"))),"Fill all blue cells")&lt;0,0,(IFERROR(IF(E230="Y",(W230*(X230-PAR!$C$15)*Y230)*C230,IF(AA230&lt;&gt;"","See Comment",IFERROR(W230*X230*Y230*C230,"Fill all blue cells"))),"Fill all blue cells")))</f>
        <v>See Comment</v>
      </c>
      <c r="AA230"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0" s="116" t="str">
        <f t="shared" si="69"/>
        <v/>
      </c>
      <c r="AC230" s="20" t="str">
        <f>IF(AND(E230="Y",D230&lt;PAR!C231),"Non bus miles are less than the minumum of 10 (see column D)",IF(AND(E230="Y",F230&lt;&gt;""),"Non Bus Miles",""))</f>
        <v/>
      </c>
      <c r="AD230" s="20" t="str">
        <f t="shared" si="70"/>
        <v/>
      </c>
      <c r="AE230" s="20" t="str">
        <f t="shared" si="62"/>
        <v>Fill Rated Capacity (see column J),</v>
      </c>
      <c r="AF230" s="20" t="str">
        <f t="shared" si="63"/>
        <v/>
      </c>
      <c r="AG230" s="20" t="str">
        <f t="shared" si="64"/>
        <v>Fill reimbursement % for this LE (see column C)</v>
      </c>
      <c r="AH230" s="20" t="str">
        <f t="shared" si="65"/>
        <v>This route has no eligible riders (see columns L:O)</v>
      </c>
      <c r="AI230" s="20" t="str">
        <f t="shared" si="66"/>
        <v>Fill miles per day (see column D)</v>
      </c>
      <c r="AJ230" s="20" t="str">
        <f t="shared" si="71"/>
        <v>Fill number of operating days (see column F)</v>
      </c>
      <c r="AK230" s="20" t="str">
        <f t="shared" si="72"/>
        <v>Fill Non-Bus Miles with Y or N (See column E)</v>
      </c>
      <c r="AL230" s="98" t="s">
        <v>422</v>
      </c>
      <c r="AM230" s="20" t="str">
        <f t="shared" si="73"/>
        <v/>
      </c>
    </row>
    <row r="231" spans="1:39" x14ac:dyDescent="0.75">
      <c r="A231" s="1" t="s">
        <v>316</v>
      </c>
      <c r="B231" s="130"/>
      <c r="C231" s="36"/>
      <c r="D231" s="42"/>
      <c r="E231" s="47"/>
      <c r="F231" s="44"/>
      <c r="G231" s="35"/>
      <c r="H231" s="18" t="s">
        <v>50</v>
      </c>
      <c r="I231" s="125"/>
      <c r="J231" s="35"/>
      <c r="K231" s="18" t="str">
        <f t="shared" si="57"/>
        <v/>
      </c>
      <c r="L231" s="38"/>
      <c r="M231" s="38"/>
      <c r="N231" s="38"/>
      <c r="O231" s="38"/>
      <c r="P231" s="18" t="str">
        <f t="shared" si="67"/>
        <v/>
      </c>
      <c r="Q231" s="38"/>
      <c r="R231" s="38"/>
      <c r="S231" s="38"/>
      <c r="T231" s="38"/>
      <c r="U231" s="18">
        <f t="shared" si="58"/>
        <v>0</v>
      </c>
      <c r="V231" s="18" t="str">
        <f t="shared" si="59"/>
        <v/>
      </c>
      <c r="W231" s="18" t="str">
        <f>IF(E231="Y",PAR!$C$12,IF(J231="","",IF(J231&lt;11,PAR!$C$6,IF(J231&lt;50,PAR!$C$7,IF(J231&lt;60,PAR!$C$8,IF(J231&lt;70,PAR!$C$9,IF(J231&lt;80,PAR!$C$10,IF(J231&gt;79,PAR!$C$11,0))))))))</f>
        <v/>
      </c>
      <c r="X231" s="18" t="str">
        <f t="shared" si="60"/>
        <v/>
      </c>
      <c r="Y231" s="21" t="str">
        <f t="shared" si="61"/>
        <v/>
      </c>
      <c r="Z231" s="100" t="str">
        <f>IF(IFERROR(IF(E231="Y",(W231*(X231-PAR!$C$15)*Y231)*C231,IF(AA231&lt;&gt;"","See Comment",IFERROR(W231*X231*Y231*C231,"Fill all blue cells"))),"Fill all blue cells")&lt;0,0,(IFERROR(IF(E231="Y",(W231*(X231-PAR!$C$15)*Y231)*C231,IF(AA231&lt;&gt;"","See Comment",IFERROR(W231*X231*Y231*C231,"Fill all blue cells"))),"Fill all blue cells")))</f>
        <v>See Comment</v>
      </c>
      <c r="AA231"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1" s="116" t="str">
        <f t="shared" si="69"/>
        <v/>
      </c>
      <c r="AC231" s="20" t="str">
        <f>IF(AND(E231="Y",D231&lt;PAR!C232),"Non bus miles are less than the minumum of 10 (see column D)",IF(AND(E231="Y",F231&lt;&gt;""),"Non Bus Miles",""))</f>
        <v/>
      </c>
      <c r="AD231" s="20" t="str">
        <f t="shared" si="70"/>
        <v/>
      </c>
      <c r="AE231" s="20" t="str">
        <f t="shared" si="62"/>
        <v>Fill Rated Capacity (see column J),</v>
      </c>
      <c r="AF231" s="20" t="str">
        <f t="shared" si="63"/>
        <v/>
      </c>
      <c r="AG231" s="20" t="str">
        <f t="shared" si="64"/>
        <v>Fill reimbursement % for this LE (see column C)</v>
      </c>
      <c r="AH231" s="20" t="str">
        <f t="shared" si="65"/>
        <v>This route has no eligible riders (see columns L:O)</v>
      </c>
      <c r="AI231" s="20" t="str">
        <f t="shared" si="66"/>
        <v>Fill miles per day (see column D)</v>
      </c>
      <c r="AJ231" s="20" t="str">
        <f t="shared" si="71"/>
        <v>Fill number of operating days (see column F)</v>
      </c>
      <c r="AK231" s="20" t="str">
        <f t="shared" si="72"/>
        <v>Fill Non-Bus Miles with Y or N (See column E)</v>
      </c>
      <c r="AL231" s="98" t="s">
        <v>422</v>
      </c>
      <c r="AM231" s="20" t="str">
        <f t="shared" si="73"/>
        <v/>
      </c>
    </row>
    <row r="232" spans="1:39" x14ac:dyDescent="0.75">
      <c r="A232" s="1" t="s">
        <v>317</v>
      </c>
      <c r="B232" s="130"/>
      <c r="C232" s="33"/>
      <c r="D232" s="41"/>
      <c r="E232" s="48"/>
      <c r="F232" s="45"/>
      <c r="G232" s="32"/>
      <c r="H232" s="16" t="s">
        <v>50</v>
      </c>
      <c r="I232" s="126"/>
      <c r="J232" s="32"/>
      <c r="K232" s="16" t="str">
        <f t="shared" si="57"/>
        <v/>
      </c>
      <c r="L232" s="37"/>
      <c r="M232" s="37"/>
      <c r="N232" s="37"/>
      <c r="O232" s="37"/>
      <c r="P232" s="16" t="str">
        <f t="shared" si="67"/>
        <v/>
      </c>
      <c r="Q232" s="37"/>
      <c r="R232" s="37"/>
      <c r="S232" s="37"/>
      <c r="T232" s="37"/>
      <c r="U232" s="16">
        <f t="shared" si="58"/>
        <v>0</v>
      </c>
      <c r="V232" s="16" t="str">
        <f t="shared" si="59"/>
        <v/>
      </c>
      <c r="W232" s="16" t="str">
        <f>IF(E232="Y",PAR!$C$12,IF(J232="","",IF(J232&lt;11,PAR!$C$6,IF(J232&lt;50,PAR!$C$7,IF(J232&lt;60,PAR!$C$8,IF(J232&lt;70,PAR!$C$9,IF(J232&lt;80,PAR!$C$10,IF(J232&gt;79,PAR!$C$11,0))))))))</f>
        <v/>
      </c>
      <c r="X232" s="16" t="str">
        <f t="shared" si="60"/>
        <v/>
      </c>
      <c r="Y232" s="22" t="str">
        <f t="shared" si="61"/>
        <v/>
      </c>
      <c r="Z232" s="100" t="str">
        <f>IF(IFERROR(IF(E232="Y",(W232*(X232-PAR!$C$15)*Y232)*C232,IF(AA232&lt;&gt;"","See Comment",IFERROR(W232*X232*Y232*C232,"Fill all blue cells"))),"Fill all blue cells")&lt;0,0,(IFERROR(IF(E232="Y",(W232*(X232-PAR!$C$15)*Y232)*C232,IF(AA232&lt;&gt;"","See Comment",IFERROR(W232*X232*Y232*C232,"Fill all blue cells"))),"Fill all blue cells")))</f>
        <v>See Comment</v>
      </c>
      <c r="AA232"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2" s="116" t="str">
        <f t="shared" si="69"/>
        <v/>
      </c>
      <c r="AC232" s="20" t="str">
        <f>IF(AND(E232="Y",D232&lt;PAR!C233),"Non bus miles are less than the minumum of 10 (see column D)",IF(AND(E232="Y",F232&lt;&gt;""),"Non Bus Miles",""))</f>
        <v/>
      </c>
      <c r="AD232" s="20" t="str">
        <f t="shared" si="70"/>
        <v/>
      </c>
      <c r="AE232" s="20" t="str">
        <f t="shared" si="62"/>
        <v>Fill Rated Capacity (see column J),</v>
      </c>
      <c r="AF232" s="20" t="str">
        <f t="shared" si="63"/>
        <v/>
      </c>
      <c r="AG232" s="20" t="str">
        <f t="shared" si="64"/>
        <v>Fill reimbursement % for this LE (see column C)</v>
      </c>
      <c r="AH232" s="20" t="str">
        <f t="shared" si="65"/>
        <v>This route has no eligible riders (see columns L:O)</v>
      </c>
      <c r="AI232" s="20" t="str">
        <f t="shared" si="66"/>
        <v>Fill miles per day (see column D)</v>
      </c>
      <c r="AJ232" s="20" t="str">
        <f t="shared" si="71"/>
        <v>Fill number of operating days (see column F)</v>
      </c>
      <c r="AK232" s="20" t="str">
        <f t="shared" si="72"/>
        <v>Fill Non-Bus Miles with Y or N (See column E)</v>
      </c>
      <c r="AL232" s="98" t="s">
        <v>422</v>
      </c>
      <c r="AM232" s="20" t="str">
        <f t="shared" si="73"/>
        <v/>
      </c>
    </row>
    <row r="233" spans="1:39" x14ac:dyDescent="0.75">
      <c r="A233" s="1" t="s">
        <v>318</v>
      </c>
      <c r="B233" s="130"/>
      <c r="C233" s="36"/>
      <c r="D233" s="42"/>
      <c r="E233" s="47"/>
      <c r="F233" s="44"/>
      <c r="G233" s="35"/>
      <c r="H233" s="18" t="s">
        <v>50</v>
      </c>
      <c r="I233" s="125"/>
      <c r="J233" s="35"/>
      <c r="K233" s="18" t="str">
        <f t="shared" si="57"/>
        <v/>
      </c>
      <c r="L233" s="38"/>
      <c r="M233" s="38"/>
      <c r="N233" s="38"/>
      <c r="O233" s="38"/>
      <c r="P233" s="18" t="str">
        <f t="shared" si="67"/>
        <v/>
      </c>
      <c r="Q233" s="38"/>
      <c r="R233" s="38"/>
      <c r="S233" s="38"/>
      <c r="T233" s="38"/>
      <c r="U233" s="18">
        <f t="shared" si="58"/>
        <v>0</v>
      </c>
      <c r="V233" s="18" t="str">
        <f t="shared" si="59"/>
        <v/>
      </c>
      <c r="W233" s="18" t="str">
        <f>IF(E233="Y",PAR!$C$12,IF(J233="","",IF(J233&lt;11,PAR!$C$6,IF(J233&lt;50,PAR!$C$7,IF(J233&lt;60,PAR!$C$8,IF(J233&lt;70,PAR!$C$9,IF(J233&lt;80,PAR!$C$10,IF(J233&gt;79,PAR!$C$11,0))))))))</f>
        <v/>
      </c>
      <c r="X233" s="18" t="str">
        <f t="shared" si="60"/>
        <v/>
      </c>
      <c r="Y233" s="21" t="str">
        <f t="shared" si="61"/>
        <v/>
      </c>
      <c r="Z233" s="100" t="str">
        <f>IF(IFERROR(IF(E233="Y",(W233*(X233-PAR!$C$15)*Y233)*C233,IF(AA233&lt;&gt;"","See Comment",IFERROR(W233*X233*Y233*C233,"Fill all blue cells"))),"Fill all blue cells")&lt;0,0,(IFERROR(IF(E233="Y",(W233*(X233-PAR!$C$15)*Y233)*C233,IF(AA233&lt;&gt;"","See Comment",IFERROR(W233*X233*Y233*C233,"Fill all blue cells"))),"Fill all blue cells")))</f>
        <v>See Comment</v>
      </c>
      <c r="AA233"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3" s="116" t="str">
        <f t="shared" si="69"/>
        <v/>
      </c>
      <c r="AC233" s="20" t="str">
        <f>IF(AND(E233="Y",D233&lt;PAR!C234),"Non bus miles are less than the minumum of 10 (see column D)",IF(AND(E233="Y",F233&lt;&gt;""),"Non Bus Miles",""))</f>
        <v/>
      </c>
      <c r="AD233" s="20" t="str">
        <f t="shared" si="70"/>
        <v/>
      </c>
      <c r="AE233" s="20" t="str">
        <f t="shared" si="62"/>
        <v>Fill Rated Capacity (see column J),</v>
      </c>
      <c r="AF233" s="20" t="str">
        <f t="shared" si="63"/>
        <v/>
      </c>
      <c r="AG233" s="20" t="str">
        <f t="shared" si="64"/>
        <v>Fill reimbursement % for this LE (see column C)</v>
      </c>
      <c r="AH233" s="20" t="str">
        <f t="shared" si="65"/>
        <v>This route has no eligible riders (see columns L:O)</v>
      </c>
      <c r="AI233" s="20" t="str">
        <f t="shared" si="66"/>
        <v>Fill miles per day (see column D)</v>
      </c>
      <c r="AJ233" s="20" t="str">
        <f t="shared" si="71"/>
        <v>Fill number of operating days (see column F)</v>
      </c>
      <c r="AK233" s="20" t="str">
        <f t="shared" si="72"/>
        <v>Fill Non-Bus Miles with Y or N (See column E)</v>
      </c>
      <c r="AL233" s="98" t="s">
        <v>422</v>
      </c>
      <c r="AM233" s="20" t="str">
        <f t="shared" si="73"/>
        <v/>
      </c>
    </row>
    <row r="234" spans="1:39" x14ac:dyDescent="0.75">
      <c r="A234" s="1" t="s">
        <v>319</v>
      </c>
      <c r="B234" s="130"/>
      <c r="C234" s="33"/>
      <c r="D234" s="41"/>
      <c r="E234" s="48"/>
      <c r="F234" s="45"/>
      <c r="G234" s="32"/>
      <c r="H234" s="16" t="s">
        <v>50</v>
      </c>
      <c r="I234" s="126"/>
      <c r="J234" s="32"/>
      <c r="K234" s="16" t="str">
        <f t="shared" si="57"/>
        <v/>
      </c>
      <c r="L234" s="37"/>
      <c r="M234" s="37"/>
      <c r="N234" s="37"/>
      <c r="O234" s="37"/>
      <c r="P234" s="16" t="str">
        <f t="shared" si="67"/>
        <v/>
      </c>
      <c r="Q234" s="37"/>
      <c r="R234" s="37"/>
      <c r="S234" s="37"/>
      <c r="T234" s="37"/>
      <c r="U234" s="16">
        <f t="shared" si="58"/>
        <v>0</v>
      </c>
      <c r="V234" s="16" t="str">
        <f t="shared" si="59"/>
        <v/>
      </c>
      <c r="W234" s="16" t="str">
        <f>IF(E234="Y",PAR!$C$12,IF(J234="","",IF(J234&lt;11,PAR!$C$6,IF(J234&lt;50,PAR!$C$7,IF(J234&lt;60,PAR!$C$8,IF(J234&lt;70,PAR!$C$9,IF(J234&lt;80,PAR!$C$10,IF(J234&gt;79,PAR!$C$11,0))))))))</f>
        <v/>
      </c>
      <c r="X234" s="16" t="str">
        <f t="shared" si="60"/>
        <v/>
      </c>
      <c r="Y234" s="22" t="str">
        <f t="shared" si="61"/>
        <v/>
      </c>
      <c r="Z234" s="100" t="str">
        <f>IF(IFERROR(IF(E234="Y",(W234*(X234-PAR!$C$15)*Y234)*C234,IF(AA234&lt;&gt;"","See Comment",IFERROR(W234*X234*Y234*C234,"Fill all blue cells"))),"Fill all blue cells")&lt;0,0,(IFERROR(IF(E234="Y",(W234*(X234-PAR!$C$15)*Y234)*C234,IF(AA234&lt;&gt;"","See Comment",IFERROR(W234*X234*Y234*C234,"Fill all blue cells"))),"Fill all blue cells")))</f>
        <v>See Comment</v>
      </c>
      <c r="AA234"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4" s="116" t="str">
        <f t="shared" si="69"/>
        <v/>
      </c>
      <c r="AC234" s="20" t="str">
        <f>IF(AND(E234="Y",D234&lt;PAR!C235),"Non bus miles are less than the minumum of 10 (see column D)",IF(AND(E234="Y",F234&lt;&gt;""),"Non Bus Miles",""))</f>
        <v/>
      </c>
      <c r="AD234" s="20" t="str">
        <f t="shared" si="70"/>
        <v/>
      </c>
      <c r="AE234" s="20" t="str">
        <f t="shared" si="62"/>
        <v>Fill Rated Capacity (see column J),</v>
      </c>
      <c r="AF234" s="20" t="str">
        <f t="shared" si="63"/>
        <v/>
      </c>
      <c r="AG234" s="20" t="str">
        <f t="shared" si="64"/>
        <v>Fill reimbursement % for this LE (see column C)</v>
      </c>
      <c r="AH234" s="20" t="str">
        <f t="shared" si="65"/>
        <v>This route has no eligible riders (see columns L:O)</v>
      </c>
      <c r="AI234" s="20" t="str">
        <f t="shared" si="66"/>
        <v>Fill miles per day (see column D)</v>
      </c>
      <c r="AJ234" s="20" t="str">
        <f t="shared" si="71"/>
        <v>Fill number of operating days (see column F)</v>
      </c>
      <c r="AK234" s="20" t="str">
        <f t="shared" si="72"/>
        <v>Fill Non-Bus Miles with Y or N (See column E)</v>
      </c>
      <c r="AL234" s="98" t="s">
        <v>422</v>
      </c>
      <c r="AM234" s="20" t="str">
        <f t="shared" si="73"/>
        <v/>
      </c>
    </row>
    <row r="235" spans="1:39" x14ac:dyDescent="0.75">
      <c r="A235" s="1" t="s">
        <v>320</v>
      </c>
      <c r="B235" s="130"/>
      <c r="C235" s="36"/>
      <c r="D235" s="42"/>
      <c r="E235" s="47"/>
      <c r="F235" s="44"/>
      <c r="G235" s="35"/>
      <c r="H235" s="18" t="s">
        <v>50</v>
      </c>
      <c r="I235" s="125"/>
      <c r="J235" s="35"/>
      <c r="K235" s="18" t="str">
        <f t="shared" si="57"/>
        <v/>
      </c>
      <c r="L235" s="38"/>
      <c r="M235" s="38"/>
      <c r="N235" s="38"/>
      <c r="O235" s="38"/>
      <c r="P235" s="18" t="str">
        <f t="shared" si="67"/>
        <v/>
      </c>
      <c r="Q235" s="38"/>
      <c r="R235" s="38"/>
      <c r="S235" s="38"/>
      <c r="T235" s="38"/>
      <c r="U235" s="18">
        <f t="shared" si="58"/>
        <v>0</v>
      </c>
      <c r="V235" s="18" t="str">
        <f t="shared" si="59"/>
        <v/>
      </c>
      <c r="W235" s="18" t="str">
        <f>IF(E235="Y",PAR!$C$12,IF(J235="","",IF(J235&lt;11,PAR!$C$6,IF(J235&lt;50,PAR!$C$7,IF(J235&lt;60,PAR!$C$8,IF(J235&lt;70,PAR!$C$9,IF(J235&lt;80,PAR!$C$10,IF(J235&gt;79,PAR!$C$11,0))))))))</f>
        <v/>
      </c>
      <c r="X235" s="18" t="str">
        <f t="shared" si="60"/>
        <v/>
      </c>
      <c r="Y235" s="21" t="str">
        <f t="shared" si="61"/>
        <v/>
      </c>
      <c r="Z235" s="100" t="str">
        <f>IF(IFERROR(IF(E235="Y",(W235*(X235-PAR!$C$15)*Y235)*C235,IF(AA235&lt;&gt;"","See Comment",IFERROR(W235*X235*Y235*C235,"Fill all blue cells"))),"Fill all blue cells")&lt;0,0,(IFERROR(IF(E235="Y",(W235*(X235-PAR!$C$15)*Y235)*C235,IF(AA235&lt;&gt;"","See Comment",IFERROR(W235*X235*Y235*C235,"Fill all blue cells"))),"Fill all blue cells")))</f>
        <v>See Comment</v>
      </c>
      <c r="AA235"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5" s="116" t="str">
        <f t="shared" si="69"/>
        <v/>
      </c>
      <c r="AC235" s="20" t="str">
        <f>IF(AND(E235="Y",D235&lt;PAR!C236),"Non bus miles are less than the minumum of 10 (see column D)",IF(AND(E235="Y",F235&lt;&gt;""),"Non Bus Miles",""))</f>
        <v/>
      </c>
      <c r="AD235" s="20" t="str">
        <f t="shared" si="70"/>
        <v/>
      </c>
      <c r="AE235" s="20" t="str">
        <f t="shared" si="62"/>
        <v>Fill Rated Capacity (see column J),</v>
      </c>
      <c r="AF235" s="20" t="str">
        <f t="shared" si="63"/>
        <v/>
      </c>
      <c r="AG235" s="20" t="str">
        <f t="shared" si="64"/>
        <v>Fill reimbursement % for this LE (see column C)</v>
      </c>
      <c r="AH235" s="20" t="str">
        <f t="shared" si="65"/>
        <v>This route has no eligible riders (see columns L:O)</v>
      </c>
      <c r="AI235" s="20" t="str">
        <f t="shared" si="66"/>
        <v>Fill miles per day (see column D)</v>
      </c>
      <c r="AJ235" s="20" t="str">
        <f t="shared" si="71"/>
        <v>Fill number of operating days (see column F)</v>
      </c>
      <c r="AK235" s="20" t="str">
        <f t="shared" si="72"/>
        <v>Fill Non-Bus Miles with Y or N (See column E)</v>
      </c>
      <c r="AL235" s="98" t="s">
        <v>422</v>
      </c>
      <c r="AM235" s="20" t="str">
        <f t="shared" si="73"/>
        <v/>
      </c>
    </row>
    <row r="236" spans="1:39" x14ac:dyDescent="0.75">
      <c r="A236" s="1" t="s">
        <v>321</v>
      </c>
      <c r="B236" s="130"/>
      <c r="C236" s="33"/>
      <c r="D236" s="41"/>
      <c r="E236" s="48"/>
      <c r="F236" s="45"/>
      <c r="G236" s="32"/>
      <c r="H236" s="16" t="s">
        <v>50</v>
      </c>
      <c r="I236" s="126"/>
      <c r="J236" s="32"/>
      <c r="K236" s="16" t="str">
        <f t="shared" si="57"/>
        <v/>
      </c>
      <c r="L236" s="37"/>
      <c r="M236" s="37"/>
      <c r="N236" s="37"/>
      <c r="O236" s="37"/>
      <c r="P236" s="16" t="str">
        <f t="shared" si="67"/>
        <v/>
      </c>
      <c r="Q236" s="37"/>
      <c r="R236" s="37"/>
      <c r="S236" s="37"/>
      <c r="T236" s="37"/>
      <c r="U236" s="16">
        <f t="shared" si="58"/>
        <v>0</v>
      </c>
      <c r="V236" s="16" t="str">
        <f t="shared" si="59"/>
        <v/>
      </c>
      <c r="W236" s="16" t="str">
        <f>IF(E236="Y",PAR!$C$12,IF(J236="","",IF(J236&lt;11,PAR!$C$6,IF(J236&lt;50,PAR!$C$7,IF(J236&lt;60,PAR!$C$8,IF(J236&lt;70,PAR!$C$9,IF(J236&lt;80,PAR!$C$10,IF(J236&gt;79,PAR!$C$11,0))))))))</f>
        <v/>
      </c>
      <c r="X236" s="16" t="str">
        <f t="shared" si="60"/>
        <v/>
      </c>
      <c r="Y236" s="22" t="str">
        <f t="shared" si="61"/>
        <v/>
      </c>
      <c r="Z236" s="100" t="str">
        <f>IF(IFERROR(IF(E236="Y",(W236*(X236-PAR!$C$15)*Y236)*C236,IF(AA236&lt;&gt;"","See Comment",IFERROR(W236*X236*Y236*C236,"Fill all blue cells"))),"Fill all blue cells")&lt;0,0,(IFERROR(IF(E236="Y",(W236*(X236-PAR!$C$15)*Y236)*C236,IF(AA236&lt;&gt;"","See Comment",IFERROR(W236*X236*Y236*C236,"Fill all blue cells"))),"Fill all blue cells")))</f>
        <v>See Comment</v>
      </c>
      <c r="AA236"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6" s="116" t="str">
        <f t="shared" si="69"/>
        <v/>
      </c>
      <c r="AC236" s="20" t="str">
        <f>IF(AND(E236="Y",D236&lt;PAR!C237),"Non bus miles are less than the minumum of 10 (see column D)",IF(AND(E236="Y",F236&lt;&gt;""),"Non Bus Miles",""))</f>
        <v/>
      </c>
      <c r="AD236" s="20" t="str">
        <f t="shared" si="70"/>
        <v/>
      </c>
      <c r="AE236" s="20" t="str">
        <f t="shared" si="62"/>
        <v>Fill Rated Capacity (see column J),</v>
      </c>
      <c r="AF236" s="20" t="str">
        <f t="shared" si="63"/>
        <v/>
      </c>
      <c r="AG236" s="20" t="str">
        <f t="shared" si="64"/>
        <v>Fill reimbursement % for this LE (see column C)</v>
      </c>
      <c r="AH236" s="20" t="str">
        <f t="shared" si="65"/>
        <v>This route has no eligible riders (see columns L:O)</v>
      </c>
      <c r="AI236" s="20" t="str">
        <f t="shared" si="66"/>
        <v>Fill miles per day (see column D)</v>
      </c>
      <c r="AJ236" s="20" t="str">
        <f t="shared" si="71"/>
        <v>Fill number of operating days (see column F)</v>
      </c>
      <c r="AK236" s="20" t="str">
        <f t="shared" si="72"/>
        <v>Fill Non-Bus Miles with Y or N (See column E)</v>
      </c>
      <c r="AL236" s="98" t="s">
        <v>422</v>
      </c>
      <c r="AM236" s="20" t="str">
        <f t="shared" si="73"/>
        <v/>
      </c>
    </row>
    <row r="237" spans="1:39" x14ac:dyDescent="0.75">
      <c r="A237" s="1" t="s">
        <v>322</v>
      </c>
      <c r="B237" s="130"/>
      <c r="C237" s="36"/>
      <c r="D237" s="42"/>
      <c r="E237" s="47"/>
      <c r="F237" s="44"/>
      <c r="G237" s="35"/>
      <c r="H237" s="18" t="s">
        <v>50</v>
      </c>
      <c r="I237" s="125"/>
      <c r="J237" s="35"/>
      <c r="K237" s="18" t="str">
        <f t="shared" si="57"/>
        <v/>
      </c>
      <c r="L237" s="38"/>
      <c r="M237" s="38"/>
      <c r="N237" s="38"/>
      <c r="O237" s="38"/>
      <c r="P237" s="18" t="str">
        <f t="shared" si="67"/>
        <v/>
      </c>
      <c r="Q237" s="38"/>
      <c r="R237" s="38"/>
      <c r="S237" s="38"/>
      <c r="T237" s="38"/>
      <c r="U237" s="18">
        <f t="shared" si="58"/>
        <v>0</v>
      </c>
      <c r="V237" s="18" t="str">
        <f t="shared" si="59"/>
        <v/>
      </c>
      <c r="W237" s="18" t="str">
        <f>IF(E237="Y",PAR!$C$12,IF(J237="","",IF(J237&lt;11,PAR!$C$6,IF(J237&lt;50,PAR!$C$7,IF(J237&lt;60,PAR!$C$8,IF(J237&lt;70,PAR!$C$9,IF(J237&lt;80,PAR!$C$10,IF(J237&gt;79,PAR!$C$11,0))))))))</f>
        <v/>
      </c>
      <c r="X237" s="18" t="str">
        <f t="shared" si="60"/>
        <v/>
      </c>
      <c r="Y237" s="21" t="str">
        <f t="shared" si="61"/>
        <v/>
      </c>
      <c r="Z237" s="100" t="str">
        <f>IF(IFERROR(IF(E237="Y",(W237*(X237-PAR!$C$15)*Y237)*C237,IF(AA237&lt;&gt;"","See Comment",IFERROR(W237*X237*Y237*C237,"Fill all blue cells"))),"Fill all blue cells")&lt;0,0,(IFERROR(IF(E237="Y",(W237*(X237-PAR!$C$15)*Y237)*C237,IF(AA237&lt;&gt;"","See Comment",IFERROR(W237*X237*Y237*C237,"Fill all blue cells"))),"Fill all blue cells")))</f>
        <v>See Comment</v>
      </c>
      <c r="AA237"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7" s="116" t="str">
        <f t="shared" si="69"/>
        <v/>
      </c>
      <c r="AC237" s="20" t="str">
        <f>IF(AND(E237="Y",D237&lt;PAR!C238),"Non bus miles are less than the minumum of 10 (see column D)",IF(AND(E237="Y",F237&lt;&gt;""),"Non Bus Miles",""))</f>
        <v/>
      </c>
      <c r="AD237" s="20" t="str">
        <f t="shared" si="70"/>
        <v/>
      </c>
      <c r="AE237" s="20" t="str">
        <f t="shared" si="62"/>
        <v>Fill Rated Capacity (see column J),</v>
      </c>
      <c r="AF237" s="20" t="str">
        <f t="shared" si="63"/>
        <v/>
      </c>
      <c r="AG237" s="20" t="str">
        <f t="shared" si="64"/>
        <v>Fill reimbursement % for this LE (see column C)</v>
      </c>
      <c r="AH237" s="20" t="str">
        <f t="shared" si="65"/>
        <v>This route has no eligible riders (see columns L:O)</v>
      </c>
      <c r="AI237" s="20" t="str">
        <f t="shared" si="66"/>
        <v>Fill miles per day (see column D)</v>
      </c>
      <c r="AJ237" s="20" t="str">
        <f t="shared" si="71"/>
        <v>Fill number of operating days (see column F)</v>
      </c>
      <c r="AK237" s="20" t="str">
        <f t="shared" si="72"/>
        <v>Fill Non-Bus Miles with Y or N (See column E)</v>
      </c>
      <c r="AL237" s="98" t="s">
        <v>422</v>
      </c>
      <c r="AM237" s="20" t="str">
        <f t="shared" si="73"/>
        <v/>
      </c>
    </row>
    <row r="238" spans="1:39" x14ac:dyDescent="0.75">
      <c r="A238" s="1" t="s">
        <v>323</v>
      </c>
      <c r="B238" s="130"/>
      <c r="C238" s="33"/>
      <c r="D238" s="41"/>
      <c r="E238" s="48"/>
      <c r="F238" s="45"/>
      <c r="G238" s="32"/>
      <c r="H238" s="16" t="s">
        <v>50</v>
      </c>
      <c r="I238" s="126"/>
      <c r="J238" s="32"/>
      <c r="K238" s="16" t="str">
        <f t="shared" si="57"/>
        <v/>
      </c>
      <c r="L238" s="37"/>
      <c r="M238" s="37"/>
      <c r="N238" s="37"/>
      <c r="O238" s="37"/>
      <c r="P238" s="16" t="str">
        <f t="shared" si="67"/>
        <v/>
      </c>
      <c r="Q238" s="37"/>
      <c r="R238" s="37"/>
      <c r="S238" s="37"/>
      <c r="T238" s="37"/>
      <c r="U238" s="16">
        <f t="shared" si="58"/>
        <v>0</v>
      </c>
      <c r="V238" s="16" t="str">
        <f t="shared" si="59"/>
        <v/>
      </c>
      <c r="W238" s="16" t="str">
        <f>IF(E238="Y",PAR!$C$12,IF(J238="","",IF(J238&lt;11,PAR!$C$6,IF(J238&lt;50,PAR!$C$7,IF(J238&lt;60,PAR!$C$8,IF(J238&lt;70,PAR!$C$9,IF(J238&lt;80,PAR!$C$10,IF(J238&gt;79,PAR!$C$11,0))))))))</f>
        <v/>
      </c>
      <c r="X238" s="16" t="str">
        <f t="shared" si="60"/>
        <v/>
      </c>
      <c r="Y238" s="22" t="str">
        <f t="shared" si="61"/>
        <v/>
      </c>
      <c r="Z238" s="100" t="str">
        <f>IF(IFERROR(IF(E238="Y",(W238*(X238-PAR!$C$15)*Y238)*C238,IF(AA238&lt;&gt;"","See Comment",IFERROR(W238*X238*Y238*C238,"Fill all blue cells"))),"Fill all blue cells")&lt;0,0,(IFERROR(IF(E238="Y",(W238*(X238-PAR!$C$15)*Y238)*C238,IF(AA238&lt;&gt;"","See Comment",IFERROR(W238*X238*Y238*C238,"Fill all blue cells"))),"Fill all blue cells")))</f>
        <v>See Comment</v>
      </c>
      <c r="AA238"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8" s="116" t="str">
        <f t="shared" si="69"/>
        <v/>
      </c>
      <c r="AC238" s="20" t="str">
        <f>IF(AND(E238="Y",D238&lt;PAR!C239),"Non bus miles are less than the minumum of 10 (see column D)",IF(AND(E238="Y",F238&lt;&gt;""),"Non Bus Miles",""))</f>
        <v/>
      </c>
      <c r="AD238" s="20" t="str">
        <f t="shared" si="70"/>
        <v/>
      </c>
      <c r="AE238" s="20" t="str">
        <f t="shared" si="62"/>
        <v>Fill Rated Capacity (see column J),</v>
      </c>
      <c r="AF238" s="20" t="str">
        <f t="shared" si="63"/>
        <v/>
      </c>
      <c r="AG238" s="20" t="str">
        <f t="shared" si="64"/>
        <v>Fill reimbursement % for this LE (see column C)</v>
      </c>
      <c r="AH238" s="20" t="str">
        <f t="shared" si="65"/>
        <v>This route has no eligible riders (see columns L:O)</v>
      </c>
      <c r="AI238" s="20" t="str">
        <f t="shared" si="66"/>
        <v>Fill miles per day (see column D)</v>
      </c>
      <c r="AJ238" s="20" t="str">
        <f t="shared" si="71"/>
        <v>Fill number of operating days (see column F)</v>
      </c>
      <c r="AK238" s="20" t="str">
        <f t="shared" si="72"/>
        <v>Fill Non-Bus Miles with Y or N (See column E)</v>
      </c>
      <c r="AL238" s="98" t="s">
        <v>422</v>
      </c>
      <c r="AM238" s="20" t="str">
        <f t="shared" si="73"/>
        <v/>
      </c>
    </row>
    <row r="239" spans="1:39" x14ac:dyDescent="0.75">
      <c r="A239" s="1" t="s">
        <v>324</v>
      </c>
      <c r="B239" s="130"/>
      <c r="C239" s="36"/>
      <c r="D239" s="42"/>
      <c r="E239" s="47"/>
      <c r="F239" s="44"/>
      <c r="G239" s="35"/>
      <c r="H239" s="18" t="s">
        <v>50</v>
      </c>
      <c r="I239" s="125"/>
      <c r="J239" s="35"/>
      <c r="K239" s="18" t="str">
        <f t="shared" si="57"/>
        <v/>
      </c>
      <c r="L239" s="38"/>
      <c r="M239" s="38"/>
      <c r="N239" s="38"/>
      <c r="O239" s="38"/>
      <c r="P239" s="18" t="str">
        <f t="shared" si="67"/>
        <v/>
      </c>
      <c r="Q239" s="38"/>
      <c r="R239" s="38"/>
      <c r="S239" s="38"/>
      <c r="T239" s="38"/>
      <c r="U239" s="18">
        <f t="shared" si="58"/>
        <v>0</v>
      </c>
      <c r="V239" s="18" t="str">
        <f t="shared" si="59"/>
        <v/>
      </c>
      <c r="W239" s="18" t="str">
        <f>IF(E239="Y",PAR!$C$12,IF(J239="","",IF(J239&lt;11,PAR!$C$6,IF(J239&lt;50,PAR!$C$7,IF(J239&lt;60,PAR!$C$8,IF(J239&lt;70,PAR!$C$9,IF(J239&lt;80,PAR!$C$10,IF(J239&gt;79,PAR!$C$11,0))))))))</f>
        <v/>
      </c>
      <c r="X239" s="18" t="str">
        <f t="shared" si="60"/>
        <v/>
      </c>
      <c r="Y239" s="21" t="str">
        <f t="shared" si="61"/>
        <v/>
      </c>
      <c r="Z239" s="100" t="str">
        <f>IF(IFERROR(IF(E239="Y",(W239*(X239-PAR!$C$15)*Y239)*C239,IF(AA239&lt;&gt;"","See Comment",IFERROR(W239*X239*Y239*C239,"Fill all blue cells"))),"Fill all blue cells")&lt;0,0,(IFERROR(IF(E239="Y",(W239*(X239-PAR!$C$15)*Y239)*C239,IF(AA239&lt;&gt;"","See Comment",IFERROR(W239*X239*Y239*C239,"Fill all blue cells"))),"Fill all blue cells")))</f>
        <v>See Comment</v>
      </c>
      <c r="AA239"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9" s="116" t="str">
        <f t="shared" si="69"/>
        <v/>
      </c>
      <c r="AC239" s="20" t="str">
        <f>IF(AND(E239="Y",D239&lt;PAR!C240),"Non bus miles are less than the minumum of 10 (see column D)",IF(AND(E239="Y",F239&lt;&gt;""),"Non Bus Miles",""))</f>
        <v/>
      </c>
      <c r="AD239" s="20" t="str">
        <f t="shared" si="70"/>
        <v/>
      </c>
      <c r="AE239" s="20" t="str">
        <f t="shared" si="62"/>
        <v>Fill Rated Capacity (see column J),</v>
      </c>
      <c r="AF239" s="20" t="str">
        <f t="shared" si="63"/>
        <v/>
      </c>
      <c r="AG239" s="20" t="str">
        <f t="shared" si="64"/>
        <v>Fill reimbursement % for this LE (see column C)</v>
      </c>
      <c r="AH239" s="20" t="str">
        <f t="shared" si="65"/>
        <v>This route has no eligible riders (see columns L:O)</v>
      </c>
      <c r="AI239" s="20" t="str">
        <f t="shared" si="66"/>
        <v>Fill miles per day (see column D)</v>
      </c>
      <c r="AJ239" s="20" t="str">
        <f t="shared" si="71"/>
        <v>Fill number of operating days (see column F)</v>
      </c>
      <c r="AK239" s="20" t="str">
        <f t="shared" si="72"/>
        <v>Fill Non-Bus Miles with Y or N (See column E)</v>
      </c>
      <c r="AL239" s="98" t="s">
        <v>422</v>
      </c>
      <c r="AM239" s="20" t="str">
        <f t="shared" si="73"/>
        <v/>
      </c>
    </row>
    <row r="240" spans="1:39" x14ac:dyDescent="0.75">
      <c r="A240" s="1" t="s">
        <v>325</v>
      </c>
      <c r="B240" s="130"/>
      <c r="C240" s="33"/>
      <c r="D240" s="41"/>
      <c r="E240" s="48"/>
      <c r="F240" s="45"/>
      <c r="G240" s="32"/>
      <c r="H240" s="16" t="s">
        <v>50</v>
      </c>
      <c r="I240" s="126"/>
      <c r="J240" s="32"/>
      <c r="K240" s="16" t="str">
        <f t="shared" si="57"/>
        <v/>
      </c>
      <c r="L240" s="37"/>
      <c r="M240" s="37"/>
      <c r="N240" s="37"/>
      <c r="O240" s="37"/>
      <c r="P240" s="16" t="str">
        <f t="shared" si="67"/>
        <v/>
      </c>
      <c r="Q240" s="37"/>
      <c r="R240" s="37"/>
      <c r="S240" s="37"/>
      <c r="T240" s="37"/>
      <c r="U240" s="16">
        <f t="shared" si="58"/>
        <v>0</v>
      </c>
      <c r="V240" s="16" t="str">
        <f t="shared" si="59"/>
        <v/>
      </c>
      <c r="W240" s="16" t="str">
        <f>IF(E240="Y",PAR!$C$12,IF(J240="","",IF(J240&lt;11,PAR!$C$6,IF(J240&lt;50,PAR!$C$7,IF(J240&lt;60,PAR!$C$8,IF(J240&lt;70,PAR!$C$9,IF(J240&lt;80,PAR!$C$10,IF(J240&gt;79,PAR!$C$11,0))))))))</f>
        <v/>
      </c>
      <c r="X240" s="16" t="str">
        <f t="shared" si="60"/>
        <v/>
      </c>
      <c r="Y240" s="22" t="str">
        <f t="shared" si="61"/>
        <v/>
      </c>
      <c r="Z240" s="100" t="str">
        <f>IF(IFERROR(IF(E240="Y",(W240*(X240-PAR!$C$15)*Y240)*C240,IF(AA240&lt;&gt;"","See Comment",IFERROR(W240*X240*Y240*C240,"Fill all blue cells"))),"Fill all blue cells")&lt;0,0,(IFERROR(IF(E240="Y",(W240*(X240-PAR!$C$15)*Y240)*C240,IF(AA240&lt;&gt;"","See Comment",IFERROR(W240*X240*Y240*C240,"Fill all blue cells"))),"Fill all blue cells")))</f>
        <v>See Comment</v>
      </c>
      <c r="AA240"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0" s="116" t="str">
        <f t="shared" si="69"/>
        <v/>
      </c>
      <c r="AC240" s="20" t="str">
        <f>IF(AND(E240="Y",D240&lt;PAR!C241),"Non bus miles are less than the minumum of 10 (see column D)",IF(AND(E240="Y",F240&lt;&gt;""),"Non Bus Miles",""))</f>
        <v/>
      </c>
      <c r="AD240" s="20" t="str">
        <f t="shared" si="70"/>
        <v/>
      </c>
      <c r="AE240" s="20" t="str">
        <f t="shared" si="62"/>
        <v>Fill Rated Capacity (see column J),</v>
      </c>
      <c r="AF240" s="20" t="str">
        <f t="shared" si="63"/>
        <v/>
      </c>
      <c r="AG240" s="20" t="str">
        <f t="shared" si="64"/>
        <v>Fill reimbursement % for this LE (see column C)</v>
      </c>
      <c r="AH240" s="20" t="str">
        <f t="shared" si="65"/>
        <v>This route has no eligible riders (see columns L:O)</v>
      </c>
      <c r="AI240" s="20" t="str">
        <f t="shared" si="66"/>
        <v>Fill miles per day (see column D)</v>
      </c>
      <c r="AJ240" s="20" t="str">
        <f t="shared" si="71"/>
        <v>Fill number of operating days (see column F)</v>
      </c>
      <c r="AK240" s="20" t="str">
        <f t="shared" si="72"/>
        <v>Fill Non-Bus Miles with Y or N (See column E)</v>
      </c>
      <c r="AL240" s="98" t="s">
        <v>422</v>
      </c>
      <c r="AM240" s="20" t="str">
        <f t="shared" si="73"/>
        <v/>
      </c>
    </row>
    <row r="241" spans="1:39" x14ac:dyDescent="0.75">
      <c r="A241" s="1" t="s">
        <v>326</v>
      </c>
      <c r="B241" s="130"/>
      <c r="C241" s="36"/>
      <c r="D241" s="42"/>
      <c r="E241" s="47"/>
      <c r="F241" s="44"/>
      <c r="G241" s="35"/>
      <c r="H241" s="18" t="s">
        <v>50</v>
      </c>
      <c r="I241" s="125"/>
      <c r="J241" s="35"/>
      <c r="K241" s="18" t="str">
        <f t="shared" si="57"/>
        <v/>
      </c>
      <c r="L241" s="38"/>
      <c r="M241" s="38"/>
      <c r="N241" s="38"/>
      <c r="O241" s="38"/>
      <c r="P241" s="18" t="str">
        <f t="shared" si="67"/>
        <v/>
      </c>
      <c r="Q241" s="38"/>
      <c r="R241" s="38"/>
      <c r="S241" s="38"/>
      <c r="T241" s="38"/>
      <c r="U241" s="18">
        <f t="shared" si="58"/>
        <v>0</v>
      </c>
      <c r="V241" s="18" t="str">
        <f t="shared" si="59"/>
        <v/>
      </c>
      <c r="W241" s="18" t="str">
        <f>IF(E241="Y",PAR!$C$12,IF(J241="","",IF(J241&lt;11,PAR!$C$6,IF(J241&lt;50,PAR!$C$7,IF(J241&lt;60,PAR!$C$8,IF(J241&lt;70,PAR!$C$9,IF(J241&lt;80,PAR!$C$10,IF(J241&gt;79,PAR!$C$11,0))))))))</f>
        <v/>
      </c>
      <c r="X241" s="18" t="str">
        <f t="shared" si="60"/>
        <v/>
      </c>
      <c r="Y241" s="21" t="str">
        <f t="shared" si="61"/>
        <v/>
      </c>
      <c r="Z241" s="100" t="str">
        <f>IF(IFERROR(IF(E241="Y",(W241*(X241-PAR!$C$15)*Y241)*C241,IF(AA241&lt;&gt;"","See Comment",IFERROR(W241*X241*Y241*C241,"Fill all blue cells"))),"Fill all blue cells")&lt;0,0,(IFERROR(IF(E241="Y",(W241*(X241-PAR!$C$15)*Y241)*C241,IF(AA241&lt;&gt;"","See Comment",IFERROR(W241*X241*Y241*C241,"Fill all blue cells"))),"Fill all blue cells")))</f>
        <v>See Comment</v>
      </c>
      <c r="AA241"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1" s="116" t="str">
        <f t="shared" si="69"/>
        <v/>
      </c>
      <c r="AC241" s="20" t="str">
        <f>IF(AND(E241="Y",D241&lt;PAR!C242),"Non bus miles are less than the minumum of 10 (see column D)",IF(AND(E241="Y",F241&lt;&gt;""),"Non Bus Miles",""))</f>
        <v/>
      </c>
      <c r="AD241" s="20" t="str">
        <f t="shared" si="70"/>
        <v/>
      </c>
      <c r="AE241" s="20" t="str">
        <f t="shared" si="62"/>
        <v>Fill Rated Capacity (see column J),</v>
      </c>
      <c r="AF241" s="20" t="str">
        <f t="shared" si="63"/>
        <v/>
      </c>
      <c r="AG241" s="20" t="str">
        <f t="shared" si="64"/>
        <v>Fill reimbursement % for this LE (see column C)</v>
      </c>
      <c r="AH241" s="20" t="str">
        <f t="shared" si="65"/>
        <v>This route has no eligible riders (see columns L:O)</v>
      </c>
      <c r="AI241" s="20" t="str">
        <f t="shared" si="66"/>
        <v>Fill miles per day (see column D)</v>
      </c>
      <c r="AJ241" s="20" t="str">
        <f t="shared" si="71"/>
        <v>Fill number of operating days (see column F)</v>
      </c>
      <c r="AK241" s="20" t="str">
        <f t="shared" si="72"/>
        <v>Fill Non-Bus Miles with Y or N (See column E)</v>
      </c>
      <c r="AL241" s="98" t="s">
        <v>422</v>
      </c>
      <c r="AM241" s="20" t="str">
        <f t="shared" si="73"/>
        <v/>
      </c>
    </row>
    <row r="242" spans="1:39" x14ac:dyDescent="0.75">
      <c r="A242" s="1" t="s">
        <v>327</v>
      </c>
      <c r="B242" s="130"/>
      <c r="C242" s="33"/>
      <c r="D242" s="41"/>
      <c r="E242" s="48"/>
      <c r="F242" s="45"/>
      <c r="G242" s="32"/>
      <c r="H242" s="16" t="s">
        <v>50</v>
      </c>
      <c r="I242" s="126"/>
      <c r="J242" s="32"/>
      <c r="K242" s="16" t="str">
        <f t="shared" si="57"/>
        <v/>
      </c>
      <c r="L242" s="37"/>
      <c r="M242" s="37"/>
      <c r="N242" s="37"/>
      <c r="O242" s="37"/>
      <c r="P242" s="16" t="str">
        <f t="shared" si="67"/>
        <v/>
      </c>
      <c r="Q242" s="37"/>
      <c r="R242" s="37"/>
      <c r="S242" s="37"/>
      <c r="T242" s="37"/>
      <c r="U242" s="16">
        <f t="shared" si="58"/>
        <v>0</v>
      </c>
      <c r="V242" s="16" t="str">
        <f t="shared" si="59"/>
        <v/>
      </c>
      <c r="W242" s="16" t="str">
        <f>IF(E242="Y",PAR!$C$12,IF(J242="","",IF(J242&lt;11,PAR!$C$6,IF(J242&lt;50,PAR!$C$7,IF(J242&lt;60,PAR!$C$8,IF(J242&lt;70,PAR!$C$9,IF(J242&lt;80,PAR!$C$10,IF(J242&gt;79,PAR!$C$11,0))))))))</f>
        <v/>
      </c>
      <c r="X242" s="16" t="str">
        <f t="shared" si="60"/>
        <v/>
      </c>
      <c r="Y242" s="22" t="str">
        <f t="shared" si="61"/>
        <v/>
      </c>
      <c r="Z242" s="100" t="str">
        <f>IF(IFERROR(IF(E242="Y",(W242*(X242-PAR!$C$15)*Y242)*C242,IF(AA242&lt;&gt;"","See Comment",IFERROR(W242*X242*Y242*C242,"Fill all blue cells"))),"Fill all blue cells")&lt;0,0,(IFERROR(IF(E242="Y",(W242*(X242-PAR!$C$15)*Y242)*C242,IF(AA242&lt;&gt;"","See Comment",IFERROR(W242*X242*Y242*C242,"Fill all blue cells"))),"Fill all blue cells")))</f>
        <v>See Comment</v>
      </c>
      <c r="AA242"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2" s="116" t="str">
        <f t="shared" si="69"/>
        <v/>
      </c>
      <c r="AC242" s="20" t="str">
        <f>IF(AND(E242="Y",D242&lt;PAR!C243),"Non bus miles are less than the minumum of 10 (see column D)",IF(AND(E242="Y",F242&lt;&gt;""),"Non Bus Miles",""))</f>
        <v/>
      </c>
      <c r="AD242" s="20" t="str">
        <f t="shared" si="70"/>
        <v/>
      </c>
      <c r="AE242" s="20" t="str">
        <f t="shared" si="62"/>
        <v>Fill Rated Capacity (see column J),</v>
      </c>
      <c r="AF242" s="20" t="str">
        <f t="shared" si="63"/>
        <v/>
      </c>
      <c r="AG242" s="20" t="str">
        <f t="shared" si="64"/>
        <v>Fill reimbursement % for this LE (see column C)</v>
      </c>
      <c r="AH242" s="20" t="str">
        <f t="shared" si="65"/>
        <v>This route has no eligible riders (see columns L:O)</v>
      </c>
      <c r="AI242" s="20" t="str">
        <f t="shared" si="66"/>
        <v>Fill miles per day (see column D)</v>
      </c>
      <c r="AJ242" s="20" t="str">
        <f t="shared" si="71"/>
        <v>Fill number of operating days (see column F)</v>
      </c>
      <c r="AK242" s="20" t="str">
        <f t="shared" si="72"/>
        <v>Fill Non-Bus Miles with Y or N (See column E)</v>
      </c>
      <c r="AL242" s="98" t="s">
        <v>422</v>
      </c>
      <c r="AM242" s="20" t="str">
        <f t="shared" si="73"/>
        <v/>
      </c>
    </row>
    <row r="243" spans="1:39" x14ac:dyDescent="0.75">
      <c r="A243" s="1" t="s">
        <v>328</v>
      </c>
      <c r="B243" s="130"/>
      <c r="C243" s="36"/>
      <c r="D243" s="42"/>
      <c r="E243" s="47"/>
      <c r="F243" s="44"/>
      <c r="G243" s="35"/>
      <c r="H243" s="18" t="s">
        <v>50</v>
      </c>
      <c r="I243" s="125"/>
      <c r="J243" s="35"/>
      <c r="K243" s="18" t="str">
        <f t="shared" si="57"/>
        <v/>
      </c>
      <c r="L243" s="38"/>
      <c r="M243" s="38"/>
      <c r="N243" s="38"/>
      <c r="O243" s="38"/>
      <c r="P243" s="18" t="str">
        <f t="shared" si="67"/>
        <v/>
      </c>
      <c r="Q243" s="38"/>
      <c r="R243" s="38"/>
      <c r="S243" s="38"/>
      <c r="T243" s="38"/>
      <c r="U243" s="18">
        <f t="shared" si="58"/>
        <v>0</v>
      </c>
      <c r="V243" s="18" t="str">
        <f t="shared" si="59"/>
        <v/>
      </c>
      <c r="W243" s="18" t="str">
        <f>IF(E243="Y",PAR!$C$12,IF(J243="","",IF(J243&lt;11,PAR!$C$6,IF(J243&lt;50,PAR!$C$7,IF(J243&lt;60,PAR!$C$8,IF(J243&lt;70,PAR!$C$9,IF(J243&lt;80,PAR!$C$10,IF(J243&gt;79,PAR!$C$11,0))))))))</f>
        <v/>
      </c>
      <c r="X243" s="18" t="str">
        <f t="shared" si="60"/>
        <v/>
      </c>
      <c r="Y243" s="21" t="str">
        <f t="shared" si="61"/>
        <v/>
      </c>
      <c r="Z243" s="100" t="str">
        <f>IF(IFERROR(IF(E243="Y",(W243*(X243-PAR!$C$15)*Y243)*C243,IF(AA243&lt;&gt;"","See Comment",IFERROR(W243*X243*Y243*C243,"Fill all blue cells"))),"Fill all blue cells")&lt;0,0,(IFERROR(IF(E243="Y",(W243*(X243-PAR!$C$15)*Y243)*C243,IF(AA243&lt;&gt;"","See Comment",IFERROR(W243*X243*Y243*C243,"Fill all blue cells"))),"Fill all blue cells")))</f>
        <v>See Comment</v>
      </c>
      <c r="AA243"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3" s="116" t="str">
        <f t="shared" si="69"/>
        <v/>
      </c>
      <c r="AC243" s="20" t="str">
        <f>IF(AND(E243="Y",D243&lt;PAR!C244),"Non bus miles are less than the minumum of 10 (see column D)",IF(AND(E243="Y",F243&lt;&gt;""),"Non Bus Miles",""))</f>
        <v/>
      </c>
      <c r="AD243" s="20" t="str">
        <f t="shared" si="70"/>
        <v/>
      </c>
      <c r="AE243" s="20" t="str">
        <f t="shared" si="62"/>
        <v>Fill Rated Capacity (see column J),</v>
      </c>
      <c r="AF243" s="20" t="str">
        <f t="shared" si="63"/>
        <v/>
      </c>
      <c r="AG243" s="20" t="str">
        <f t="shared" si="64"/>
        <v>Fill reimbursement % for this LE (see column C)</v>
      </c>
      <c r="AH243" s="20" t="str">
        <f t="shared" si="65"/>
        <v>This route has no eligible riders (see columns L:O)</v>
      </c>
      <c r="AI243" s="20" t="str">
        <f t="shared" si="66"/>
        <v>Fill miles per day (see column D)</v>
      </c>
      <c r="AJ243" s="20" t="str">
        <f t="shared" si="71"/>
        <v>Fill number of operating days (see column F)</v>
      </c>
      <c r="AK243" s="20" t="str">
        <f t="shared" si="72"/>
        <v>Fill Non-Bus Miles with Y or N (See column E)</v>
      </c>
      <c r="AL243" s="98" t="s">
        <v>422</v>
      </c>
      <c r="AM243" s="20" t="str">
        <f t="shared" si="73"/>
        <v/>
      </c>
    </row>
    <row r="244" spans="1:39" x14ac:dyDescent="0.75">
      <c r="A244" s="1" t="s">
        <v>329</v>
      </c>
      <c r="B244" s="130"/>
      <c r="C244" s="33"/>
      <c r="D244" s="41"/>
      <c r="E244" s="48"/>
      <c r="F244" s="45"/>
      <c r="G244" s="32"/>
      <c r="H244" s="16" t="s">
        <v>50</v>
      </c>
      <c r="I244" s="126"/>
      <c r="J244" s="32"/>
      <c r="K244" s="16" t="str">
        <f t="shared" si="57"/>
        <v/>
      </c>
      <c r="L244" s="37"/>
      <c r="M244" s="37"/>
      <c r="N244" s="37"/>
      <c r="O244" s="37"/>
      <c r="P244" s="16" t="str">
        <f t="shared" si="67"/>
        <v/>
      </c>
      <c r="Q244" s="37"/>
      <c r="R244" s="37"/>
      <c r="S244" s="37"/>
      <c r="T244" s="37"/>
      <c r="U244" s="16">
        <f t="shared" si="58"/>
        <v>0</v>
      </c>
      <c r="V244" s="16" t="str">
        <f t="shared" si="59"/>
        <v/>
      </c>
      <c r="W244" s="16" t="str">
        <f>IF(E244="Y",PAR!$C$12,IF(J244="","",IF(J244&lt;11,PAR!$C$6,IF(J244&lt;50,PAR!$C$7,IF(J244&lt;60,PAR!$C$8,IF(J244&lt;70,PAR!$C$9,IF(J244&lt;80,PAR!$C$10,IF(J244&gt;79,PAR!$C$11,0))))))))</f>
        <v/>
      </c>
      <c r="X244" s="16" t="str">
        <f t="shared" si="60"/>
        <v/>
      </c>
      <c r="Y244" s="22" t="str">
        <f t="shared" si="61"/>
        <v/>
      </c>
      <c r="Z244" s="100" t="str">
        <f>IF(IFERROR(IF(E244="Y",(W244*(X244-PAR!$C$15)*Y244)*C244,IF(AA244&lt;&gt;"","See Comment",IFERROR(W244*X244*Y244*C244,"Fill all blue cells"))),"Fill all blue cells")&lt;0,0,(IFERROR(IF(E244="Y",(W244*(X244-PAR!$C$15)*Y244)*C244,IF(AA244&lt;&gt;"","See Comment",IFERROR(W244*X244*Y244*C244,"Fill all blue cells"))),"Fill all blue cells")))</f>
        <v>See Comment</v>
      </c>
      <c r="AA244"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4" s="116" t="str">
        <f t="shared" si="69"/>
        <v/>
      </c>
      <c r="AC244" s="20" t="str">
        <f>IF(AND(E244="Y",D244&lt;PAR!C245),"Non bus miles are less than the minumum of 10 (see column D)",IF(AND(E244="Y",F244&lt;&gt;""),"Non Bus Miles",""))</f>
        <v/>
      </c>
      <c r="AD244" s="20" t="str">
        <f t="shared" si="70"/>
        <v/>
      </c>
      <c r="AE244" s="20" t="str">
        <f t="shared" si="62"/>
        <v>Fill Rated Capacity (see column J),</v>
      </c>
      <c r="AF244" s="20" t="str">
        <f t="shared" si="63"/>
        <v/>
      </c>
      <c r="AG244" s="20" t="str">
        <f t="shared" si="64"/>
        <v>Fill reimbursement % for this LE (see column C)</v>
      </c>
      <c r="AH244" s="20" t="str">
        <f t="shared" si="65"/>
        <v>This route has no eligible riders (see columns L:O)</v>
      </c>
      <c r="AI244" s="20" t="str">
        <f t="shared" si="66"/>
        <v>Fill miles per day (see column D)</v>
      </c>
      <c r="AJ244" s="20" t="str">
        <f t="shared" si="71"/>
        <v>Fill number of operating days (see column F)</v>
      </c>
      <c r="AK244" s="20" t="str">
        <f t="shared" si="72"/>
        <v>Fill Non-Bus Miles with Y or N (See column E)</v>
      </c>
      <c r="AL244" s="98" t="s">
        <v>422</v>
      </c>
      <c r="AM244" s="20" t="str">
        <f t="shared" si="73"/>
        <v/>
      </c>
    </row>
    <row r="245" spans="1:39" x14ac:dyDescent="0.75">
      <c r="A245" s="1" t="s">
        <v>330</v>
      </c>
      <c r="B245" s="130"/>
      <c r="C245" s="36"/>
      <c r="D245" s="42"/>
      <c r="E245" s="47"/>
      <c r="F245" s="44"/>
      <c r="G245" s="35"/>
      <c r="H245" s="18" t="s">
        <v>50</v>
      </c>
      <c r="I245" s="125"/>
      <c r="J245" s="35"/>
      <c r="K245" s="18" t="str">
        <f t="shared" si="57"/>
        <v/>
      </c>
      <c r="L245" s="38"/>
      <c r="M245" s="38"/>
      <c r="N245" s="38"/>
      <c r="O245" s="38"/>
      <c r="P245" s="18" t="str">
        <f t="shared" si="67"/>
        <v/>
      </c>
      <c r="Q245" s="38"/>
      <c r="R245" s="38"/>
      <c r="S245" s="38"/>
      <c r="T245" s="38"/>
      <c r="U245" s="18">
        <f t="shared" si="58"/>
        <v>0</v>
      </c>
      <c r="V245" s="18" t="str">
        <f t="shared" si="59"/>
        <v/>
      </c>
      <c r="W245" s="18" t="str">
        <f>IF(E245="Y",PAR!$C$12,IF(J245="","",IF(J245&lt;11,PAR!$C$6,IF(J245&lt;50,PAR!$C$7,IF(J245&lt;60,PAR!$C$8,IF(J245&lt;70,PAR!$C$9,IF(J245&lt;80,PAR!$C$10,IF(J245&gt;79,PAR!$C$11,0))))))))</f>
        <v/>
      </c>
      <c r="X245" s="18" t="str">
        <f t="shared" si="60"/>
        <v/>
      </c>
      <c r="Y245" s="21" t="str">
        <f t="shared" si="61"/>
        <v/>
      </c>
      <c r="Z245" s="100" t="str">
        <f>IF(IFERROR(IF(E245="Y",(W245*(X245-PAR!$C$15)*Y245)*C245,IF(AA245&lt;&gt;"","See Comment",IFERROR(W245*X245*Y245*C245,"Fill all blue cells"))),"Fill all blue cells")&lt;0,0,(IFERROR(IF(E245="Y",(W245*(X245-PAR!$C$15)*Y245)*C245,IF(AA245&lt;&gt;"","See Comment",IFERROR(W245*X245*Y245*C245,"Fill all blue cells"))),"Fill all blue cells")))</f>
        <v>See Comment</v>
      </c>
      <c r="AA245"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5" s="116" t="str">
        <f t="shared" si="69"/>
        <v/>
      </c>
      <c r="AC245" s="20" t="str">
        <f>IF(AND(E245="Y",D245&lt;PAR!C246),"Non bus miles are less than the minumum of 10 (see column D)",IF(AND(E245="Y",F245&lt;&gt;""),"Non Bus Miles",""))</f>
        <v/>
      </c>
      <c r="AD245" s="20" t="str">
        <f t="shared" si="70"/>
        <v/>
      </c>
      <c r="AE245" s="20" t="str">
        <f t="shared" si="62"/>
        <v>Fill Rated Capacity (see column J),</v>
      </c>
      <c r="AF245" s="20" t="str">
        <f t="shared" si="63"/>
        <v/>
      </c>
      <c r="AG245" s="20" t="str">
        <f t="shared" si="64"/>
        <v>Fill reimbursement % for this LE (see column C)</v>
      </c>
      <c r="AH245" s="20" t="str">
        <f t="shared" si="65"/>
        <v>This route has no eligible riders (see columns L:O)</v>
      </c>
      <c r="AI245" s="20" t="str">
        <f t="shared" si="66"/>
        <v>Fill miles per day (see column D)</v>
      </c>
      <c r="AJ245" s="20" t="str">
        <f t="shared" si="71"/>
        <v>Fill number of operating days (see column F)</v>
      </c>
      <c r="AK245" s="20" t="str">
        <f t="shared" si="72"/>
        <v>Fill Non-Bus Miles with Y or N (See column E)</v>
      </c>
      <c r="AL245" s="98" t="s">
        <v>422</v>
      </c>
      <c r="AM245" s="20" t="str">
        <f t="shared" si="73"/>
        <v/>
      </c>
    </row>
    <row r="246" spans="1:39" x14ac:dyDescent="0.75">
      <c r="A246" s="1" t="s">
        <v>331</v>
      </c>
      <c r="B246" s="130"/>
      <c r="C246" s="33"/>
      <c r="D246" s="41"/>
      <c r="E246" s="48"/>
      <c r="F246" s="45"/>
      <c r="G246" s="32"/>
      <c r="H246" s="16" t="s">
        <v>50</v>
      </c>
      <c r="I246" s="126"/>
      <c r="J246" s="32"/>
      <c r="K246" s="16" t="str">
        <f t="shared" si="57"/>
        <v/>
      </c>
      <c r="L246" s="37"/>
      <c r="M246" s="37"/>
      <c r="N246" s="37"/>
      <c r="O246" s="37"/>
      <c r="P246" s="16" t="str">
        <f t="shared" si="67"/>
        <v/>
      </c>
      <c r="Q246" s="37"/>
      <c r="R246" s="37"/>
      <c r="S246" s="37"/>
      <c r="T246" s="37"/>
      <c r="U246" s="16">
        <f t="shared" si="58"/>
        <v>0</v>
      </c>
      <c r="V246" s="16" t="str">
        <f t="shared" si="59"/>
        <v/>
      </c>
      <c r="W246" s="16" t="str">
        <f>IF(E246="Y",PAR!$C$12,IF(J246="","",IF(J246&lt;11,PAR!$C$6,IF(J246&lt;50,PAR!$C$7,IF(J246&lt;60,PAR!$C$8,IF(J246&lt;70,PAR!$C$9,IF(J246&lt;80,PAR!$C$10,IF(J246&gt;79,PAR!$C$11,0))))))))</f>
        <v/>
      </c>
      <c r="X246" s="16" t="str">
        <f t="shared" si="60"/>
        <v/>
      </c>
      <c r="Y246" s="22" t="str">
        <f t="shared" si="61"/>
        <v/>
      </c>
      <c r="Z246" s="100" t="str">
        <f>IF(IFERROR(IF(E246="Y",(W246*(X246-PAR!$C$15)*Y246)*C246,IF(AA246&lt;&gt;"","See Comment",IFERROR(W246*X246*Y246*C246,"Fill all blue cells"))),"Fill all blue cells")&lt;0,0,(IFERROR(IF(E246="Y",(W246*(X246-PAR!$C$15)*Y246)*C246,IF(AA246&lt;&gt;"","See Comment",IFERROR(W246*X246*Y246*C246,"Fill all blue cells"))),"Fill all blue cells")))</f>
        <v>See Comment</v>
      </c>
      <c r="AA246"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6" s="116" t="str">
        <f t="shared" si="69"/>
        <v/>
      </c>
      <c r="AC246" s="20" t="str">
        <f>IF(AND(E246="Y",D246&lt;PAR!C247),"Non bus miles are less than the minumum of 10 (see column D)",IF(AND(E246="Y",F246&lt;&gt;""),"Non Bus Miles",""))</f>
        <v/>
      </c>
      <c r="AD246" s="20" t="str">
        <f t="shared" si="70"/>
        <v/>
      </c>
      <c r="AE246" s="20" t="str">
        <f t="shared" si="62"/>
        <v>Fill Rated Capacity (see column J),</v>
      </c>
      <c r="AF246" s="20" t="str">
        <f t="shared" si="63"/>
        <v/>
      </c>
      <c r="AG246" s="20" t="str">
        <f t="shared" si="64"/>
        <v>Fill reimbursement % for this LE (see column C)</v>
      </c>
      <c r="AH246" s="20" t="str">
        <f t="shared" si="65"/>
        <v>This route has no eligible riders (see columns L:O)</v>
      </c>
      <c r="AI246" s="20" t="str">
        <f t="shared" si="66"/>
        <v>Fill miles per day (see column D)</v>
      </c>
      <c r="AJ246" s="20" t="str">
        <f t="shared" si="71"/>
        <v>Fill number of operating days (see column F)</v>
      </c>
      <c r="AK246" s="20" t="str">
        <f t="shared" si="72"/>
        <v>Fill Non-Bus Miles with Y or N (See column E)</v>
      </c>
      <c r="AL246" s="98" t="s">
        <v>422</v>
      </c>
      <c r="AM246" s="20" t="str">
        <f t="shared" si="73"/>
        <v/>
      </c>
    </row>
    <row r="247" spans="1:39" x14ac:dyDescent="0.75">
      <c r="A247" s="1" t="s">
        <v>332</v>
      </c>
      <c r="B247" s="130"/>
      <c r="C247" s="36"/>
      <c r="D247" s="42"/>
      <c r="E247" s="47"/>
      <c r="F247" s="44"/>
      <c r="G247" s="35"/>
      <c r="H247" s="18" t="s">
        <v>50</v>
      </c>
      <c r="I247" s="125"/>
      <c r="J247" s="35"/>
      <c r="K247" s="18" t="str">
        <f t="shared" si="57"/>
        <v/>
      </c>
      <c r="L247" s="38"/>
      <c r="M247" s="38"/>
      <c r="N247" s="38"/>
      <c r="O247" s="38"/>
      <c r="P247" s="18" t="str">
        <f t="shared" si="67"/>
        <v/>
      </c>
      <c r="Q247" s="38"/>
      <c r="R247" s="38"/>
      <c r="S247" s="38"/>
      <c r="T247" s="38"/>
      <c r="U247" s="18">
        <f t="shared" si="58"/>
        <v>0</v>
      </c>
      <c r="V247" s="18" t="str">
        <f t="shared" si="59"/>
        <v/>
      </c>
      <c r="W247" s="18" t="str">
        <f>IF(E247="Y",PAR!$C$12,IF(J247="","",IF(J247&lt;11,PAR!$C$6,IF(J247&lt;50,PAR!$C$7,IF(J247&lt;60,PAR!$C$8,IF(J247&lt;70,PAR!$C$9,IF(J247&lt;80,PAR!$C$10,IF(J247&gt;79,PAR!$C$11,0))))))))</f>
        <v/>
      </c>
      <c r="X247" s="18" t="str">
        <f t="shared" si="60"/>
        <v/>
      </c>
      <c r="Y247" s="21" t="str">
        <f t="shared" si="61"/>
        <v/>
      </c>
      <c r="Z247" s="100" t="str">
        <f>IF(IFERROR(IF(E247="Y",(W247*(X247-PAR!$C$15)*Y247)*C247,IF(AA247&lt;&gt;"","See Comment",IFERROR(W247*X247*Y247*C247,"Fill all blue cells"))),"Fill all blue cells")&lt;0,0,(IFERROR(IF(E247="Y",(W247*(X247-PAR!$C$15)*Y247)*C247,IF(AA247&lt;&gt;"","See Comment",IFERROR(W247*X247*Y247*C247,"Fill all blue cells"))),"Fill all blue cells")))</f>
        <v>See Comment</v>
      </c>
      <c r="AA247"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7" s="116" t="str">
        <f t="shared" si="69"/>
        <v/>
      </c>
      <c r="AC247" s="20" t="str">
        <f>IF(AND(E247="Y",D247&lt;PAR!C248),"Non bus miles are less than the minumum of 10 (see column D)",IF(AND(E247="Y",F247&lt;&gt;""),"Non Bus Miles",""))</f>
        <v/>
      </c>
      <c r="AD247" s="20" t="str">
        <f t="shared" si="70"/>
        <v/>
      </c>
      <c r="AE247" s="20" t="str">
        <f t="shared" si="62"/>
        <v>Fill Rated Capacity (see column J),</v>
      </c>
      <c r="AF247" s="20" t="str">
        <f t="shared" si="63"/>
        <v/>
      </c>
      <c r="AG247" s="20" t="str">
        <f t="shared" si="64"/>
        <v>Fill reimbursement % for this LE (see column C)</v>
      </c>
      <c r="AH247" s="20" t="str">
        <f t="shared" si="65"/>
        <v>This route has no eligible riders (see columns L:O)</v>
      </c>
      <c r="AI247" s="20" t="str">
        <f t="shared" si="66"/>
        <v>Fill miles per day (see column D)</v>
      </c>
      <c r="AJ247" s="20" t="str">
        <f t="shared" si="71"/>
        <v>Fill number of operating days (see column F)</v>
      </c>
      <c r="AK247" s="20" t="str">
        <f t="shared" si="72"/>
        <v>Fill Non-Bus Miles with Y or N (See column E)</v>
      </c>
      <c r="AL247" s="98" t="s">
        <v>422</v>
      </c>
      <c r="AM247" s="20" t="str">
        <f t="shared" si="73"/>
        <v/>
      </c>
    </row>
    <row r="248" spans="1:39" x14ac:dyDescent="0.75">
      <c r="A248" s="1" t="s">
        <v>333</v>
      </c>
      <c r="B248" s="130"/>
      <c r="C248" s="33"/>
      <c r="D248" s="41"/>
      <c r="E248" s="48"/>
      <c r="F248" s="45"/>
      <c r="G248" s="32"/>
      <c r="H248" s="16" t="s">
        <v>50</v>
      </c>
      <c r="I248" s="126"/>
      <c r="J248" s="32"/>
      <c r="K248" s="16" t="str">
        <f t="shared" si="57"/>
        <v/>
      </c>
      <c r="L248" s="37"/>
      <c r="M248" s="37"/>
      <c r="N248" s="37"/>
      <c r="O248" s="37"/>
      <c r="P248" s="16" t="str">
        <f t="shared" si="67"/>
        <v/>
      </c>
      <c r="Q248" s="37"/>
      <c r="R248" s="37"/>
      <c r="S248" s="37"/>
      <c r="T248" s="37"/>
      <c r="U248" s="16">
        <f t="shared" si="58"/>
        <v>0</v>
      </c>
      <c r="V248" s="16" t="str">
        <f t="shared" si="59"/>
        <v/>
      </c>
      <c r="W248" s="16" t="str">
        <f>IF(E248="Y",PAR!$C$12,IF(J248="","",IF(J248&lt;11,PAR!$C$6,IF(J248&lt;50,PAR!$C$7,IF(J248&lt;60,PAR!$C$8,IF(J248&lt;70,PAR!$C$9,IF(J248&lt;80,PAR!$C$10,IF(J248&gt;79,PAR!$C$11,0))))))))</f>
        <v/>
      </c>
      <c r="X248" s="16" t="str">
        <f t="shared" si="60"/>
        <v/>
      </c>
      <c r="Y248" s="22" t="str">
        <f t="shared" si="61"/>
        <v/>
      </c>
      <c r="Z248" s="100" t="str">
        <f>IF(IFERROR(IF(E248="Y",(W248*(X248-PAR!$C$15)*Y248)*C248,IF(AA248&lt;&gt;"","See Comment",IFERROR(W248*X248*Y248*C248,"Fill all blue cells"))),"Fill all blue cells")&lt;0,0,(IFERROR(IF(E248="Y",(W248*(X248-PAR!$C$15)*Y248)*C248,IF(AA248&lt;&gt;"","See Comment",IFERROR(W248*X248*Y248*C248,"Fill all blue cells"))),"Fill all blue cells")))</f>
        <v>See Comment</v>
      </c>
      <c r="AA248"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8" s="116" t="str">
        <f t="shared" si="69"/>
        <v/>
      </c>
      <c r="AC248" s="20" t="str">
        <f>IF(AND(E248="Y",D248&lt;PAR!C249),"Non bus miles are less than the minumum of 10 (see column D)",IF(AND(E248="Y",F248&lt;&gt;""),"Non Bus Miles",""))</f>
        <v/>
      </c>
      <c r="AD248" s="20" t="str">
        <f t="shared" si="70"/>
        <v/>
      </c>
      <c r="AE248" s="20" t="str">
        <f t="shared" si="62"/>
        <v>Fill Rated Capacity (see column J),</v>
      </c>
      <c r="AF248" s="20" t="str">
        <f t="shared" si="63"/>
        <v/>
      </c>
      <c r="AG248" s="20" t="str">
        <f t="shared" si="64"/>
        <v>Fill reimbursement % for this LE (see column C)</v>
      </c>
      <c r="AH248" s="20" t="str">
        <f t="shared" si="65"/>
        <v>This route has no eligible riders (see columns L:O)</v>
      </c>
      <c r="AI248" s="20" t="str">
        <f t="shared" si="66"/>
        <v>Fill miles per day (see column D)</v>
      </c>
      <c r="AJ248" s="20" t="str">
        <f t="shared" si="71"/>
        <v>Fill number of operating days (see column F)</v>
      </c>
      <c r="AK248" s="20" t="str">
        <f t="shared" si="72"/>
        <v>Fill Non-Bus Miles with Y or N (See column E)</v>
      </c>
      <c r="AL248" s="98" t="s">
        <v>422</v>
      </c>
      <c r="AM248" s="20" t="str">
        <f t="shared" si="73"/>
        <v/>
      </c>
    </row>
    <row r="249" spans="1:39" x14ac:dyDescent="0.75">
      <c r="A249" s="1" t="s">
        <v>334</v>
      </c>
      <c r="B249" s="130"/>
      <c r="C249" s="36"/>
      <c r="D249" s="42"/>
      <c r="E249" s="47"/>
      <c r="F249" s="44"/>
      <c r="G249" s="35"/>
      <c r="H249" s="18" t="s">
        <v>50</v>
      </c>
      <c r="I249" s="125"/>
      <c r="J249" s="35"/>
      <c r="K249" s="18" t="str">
        <f t="shared" si="57"/>
        <v/>
      </c>
      <c r="L249" s="38"/>
      <c r="M249" s="38"/>
      <c r="N249" s="38"/>
      <c r="O249" s="38"/>
      <c r="P249" s="18" t="str">
        <f t="shared" si="67"/>
        <v/>
      </c>
      <c r="Q249" s="38"/>
      <c r="R249" s="38"/>
      <c r="S249" s="38"/>
      <c r="T249" s="38"/>
      <c r="U249" s="18">
        <f t="shared" si="58"/>
        <v>0</v>
      </c>
      <c r="V249" s="18" t="str">
        <f t="shared" si="59"/>
        <v/>
      </c>
      <c r="W249" s="18" t="str">
        <f>IF(E249="Y",PAR!$C$12,IF(J249="","",IF(J249&lt;11,PAR!$C$6,IF(J249&lt;50,PAR!$C$7,IF(J249&lt;60,PAR!$C$8,IF(J249&lt;70,PAR!$C$9,IF(J249&lt;80,PAR!$C$10,IF(J249&gt;79,PAR!$C$11,0))))))))</f>
        <v/>
      </c>
      <c r="X249" s="18" t="str">
        <f t="shared" si="60"/>
        <v/>
      </c>
      <c r="Y249" s="21" t="str">
        <f t="shared" si="61"/>
        <v/>
      </c>
      <c r="Z249" s="100" t="str">
        <f>IF(IFERROR(IF(E249="Y",(W249*(X249-PAR!$C$15)*Y249)*C249,IF(AA249&lt;&gt;"","See Comment",IFERROR(W249*X249*Y249*C249,"Fill all blue cells"))),"Fill all blue cells")&lt;0,0,(IFERROR(IF(E249="Y",(W249*(X249-PAR!$C$15)*Y249)*C249,IF(AA249&lt;&gt;"","See Comment",IFERROR(W249*X249*Y249*C249,"Fill all blue cells"))),"Fill all blue cells")))</f>
        <v>See Comment</v>
      </c>
      <c r="AA249"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9" s="116" t="str">
        <f t="shared" si="69"/>
        <v/>
      </c>
      <c r="AC249" s="20" t="str">
        <f>IF(AND(E249="Y",D249&lt;PAR!C250),"Non bus miles are less than the minumum of 10 (see column D)",IF(AND(E249="Y",F249&lt;&gt;""),"Non Bus Miles",""))</f>
        <v/>
      </c>
      <c r="AD249" s="20" t="str">
        <f t="shared" si="70"/>
        <v/>
      </c>
      <c r="AE249" s="20" t="str">
        <f t="shared" si="62"/>
        <v>Fill Rated Capacity (see column J),</v>
      </c>
      <c r="AF249" s="20" t="str">
        <f t="shared" si="63"/>
        <v/>
      </c>
      <c r="AG249" s="20" t="str">
        <f t="shared" si="64"/>
        <v>Fill reimbursement % for this LE (see column C)</v>
      </c>
      <c r="AH249" s="20" t="str">
        <f t="shared" si="65"/>
        <v>This route has no eligible riders (see columns L:O)</v>
      </c>
      <c r="AI249" s="20" t="str">
        <f t="shared" si="66"/>
        <v>Fill miles per day (see column D)</v>
      </c>
      <c r="AJ249" s="20" t="str">
        <f t="shared" si="71"/>
        <v>Fill number of operating days (see column F)</v>
      </c>
      <c r="AK249" s="20" t="str">
        <f t="shared" si="72"/>
        <v>Fill Non-Bus Miles with Y or N (See column E)</v>
      </c>
      <c r="AL249" s="98" t="s">
        <v>422</v>
      </c>
      <c r="AM249" s="20" t="str">
        <f t="shared" si="73"/>
        <v/>
      </c>
    </row>
    <row r="250" spans="1:39" x14ac:dyDescent="0.75">
      <c r="A250" s="1" t="s">
        <v>335</v>
      </c>
      <c r="B250" s="130"/>
      <c r="C250" s="33"/>
      <c r="D250" s="41"/>
      <c r="E250" s="48"/>
      <c r="F250" s="45"/>
      <c r="G250" s="32"/>
      <c r="H250" s="16" t="s">
        <v>50</v>
      </c>
      <c r="I250" s="126"/>
      <c r="J250" s="32"/>
      <c r="K250" s="16" t="str">
        <f t="shared" si="57"/>
        <v/>
      </c>
      <c r="L250" s="37"/>
      <c r="M250" s="37"/>
      <c r="N250" s="37"/>
      <c r="O250" s="37"/>
      <c r="P250" s="16" t="str">
        <f t="shared" si="67"/>
        <v/>
      </c>
      <c r="Q250" s="37"/>
      <c r="R250" s="37"/>
      <c r="S250" s="37"/>
      <c r="T250" s="37"/>
      <c r="U250" s="16">
        <f t="shared" si="58"/>
        <v>0</v>
      </c>
      <c r="V250" s="16" t="str">
        <f t="shared" si="59"/>
        <v/>
      </c>
      <c r="W250" s="16" t="str">
        <f>IF(E250="Y",PAR!$C$12,IF(J250="","",IF(J250&lt;11,PAR!$C$6,IF(J250&lt;50,PAR!$C$7,IF(J250&lt;60,PAR!$C$8,IF(J250&lt;70,PAR!$C$9,IF(J250&lt;80,PAR!$C$10,IF(J250&gt;79,PAR!$C$11,0))))))))</f>
        <v/>
      </c>
      <c r="X250" s="16" t="str">
        <f t="shared" si="60"/>
        <v/>
      </c>
      <c r="Y250" s="22" t="str">
        <f t="shared" si="61"/>
        <v/>
      </c>
      <c r="Z250" s="100" t="str">
        <f>IF(IFERROR(IF(E250="Y",(W250*(X250-PAR!$C$15)*Y250)*C250,IF(AA250&lt;&gt;"","See Comment",IFERROR(W250*X250*Y250*C250,"Fill all blue cells"))),"Fill all blue cells")&lt;0,0,(IFERROR(IF(E250="Y",(W250*(X250-PAR!$C$15)*Y250)*C250,IF(AA250&lt;&gt;"","See Comment",IFERROR(W250*X250*Y250*C250,"Fill all blue cells"))),"Fill all blue cells")))</f>
        <v>See Comment</v>
      </c>
      <c r="AA250"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0" s="116" t="str">
        <f t="shared" si="69"/>
        <v/>
      </c>
      <c r="AC250" s="20" t="str">
        <f>IF(AND(E250="Y",D250&lt;PAR!C251),"Non bus miles are less than the minumum of 10 (see column D)",IF(AND(E250="Y",F250&lt;&gt;""),"Non Bus Miles",""))</f>
        <v/>
      </c>
      <c r="AD250" s="20" t="str">
        <f t="shared" si="70"/>
        <v/>
      </c>
      <c r="AE250" s="20" t="str">
        <f t="shared" si="62"/>
        <v>Fill Rated Capacity (see column J),</v>
      </c>
      <c r="AF250" s="20" t="str">
        <f t="shared" si="63"/>
        <v/>
      </c>
      <c r="AG250" s="20" t="str">
        <f t="shared" si="64"/>
        <v>Fill reimbursement % for this LE (see column C)</v>
      </c>
      <c r="AH250" s="20" t="str">
        <f t="shared" si="65"/>
        <v>This route has no eligible riders (see columns L:O)</v>
      </c>
      <c r="AI250" s="20" t="str">
        <f t="shared" si="66"/>
        <v>Fill miles per day (see column D)</v>
      </c>
      <c r="AJ250" s="20" t="str">
        <f t="shared" si="71"/>
        <v>Fill number of operating days (see column F)</v>
      </c>
      <c r="AK250" s="20" t="str">
        <f t="shared" si="72"/>
        <v>Fill Non-Bus Miles with Y or N (See column E)</v>
      </c>
      <c r="AL250" s="98" t="s">
        <v>422</v>
      </c>
      <c r="AM250" s="20" t="str">
        <f t="shared" si="73"/>
        <v/>
      </c>
    </row>
    <row r="251" spans="1:39" x14ac:dyDescent="0.75">
      <c r="A251" s="1" t="s">
        <v>336</v>
      </c>
      <c r="B251" s="130"/>
      <c r="C251" s="36"/>
      <c r="D251" s="42"/>
      <c r="E251" s="47"/>
      <c r="F251" s="44"/>
      <c r="G251" s="35"/>
      <c r="H251" s="18" t="s">
        <v>50</v>
      </c>
      <c r="I251" s="125"/>
      <c r="J251" s="35"/>
      <c r="K251" s="18" t="str">
        <f t="shared" si="57"/>
        <v/>
      </c>
      <c r="L251" s="38"/>
      <c r="M251" s="38"/>
      <c r="N251" s="38"/>
      <c r="O251" s="38"/>
      <c r="P251" s="18" t="str">
        <f t="shared" si="67"/>
        <v/>
      </c>
      <c r="Q251" s="38"/>
      <c r="R251" s="38"/>
      <c r="S251" s="38"/>
      <c r="T251" s="38"/>
      <c r="U251" s="18">
        <f t="shared" si="58"/>
        <v>0</v>
      </c>
      <c r="V251" s="18" t="str">
        <f t="shared" si="59"/>
        <v/>
      </c>
      <c r="W251" s="18" t="str">
        <f>IF(E251="Y",PAR!$C$12,IF(J251="","",IF(J251&lt;11,PAR!$C$6,IF(J251&lt;50,PAR!$C$7,IF(J251&lt;60,PAR!$C$8,IF(J251&lt;70,PAR!$C$9,IF(J251&lt;80,PAR!$C$10,IF(J251&gt;79,PAR!$C$11,0))))))))</f>
        <v/>
      </c>
      <c r="X251" s="18" t="str">
        <f t="shared" si="60"/>
        <v/>
      </c>
      <c r="Y251" s="21" t="str">
        <f t="shared" si="61"/>
        <v/>
      </c>
      <c r="Z251" s="100" t="str">
        <f>IF(IFERROR(IF(E251="Y",(W251*(X251-PAR!$C$15)*Y251)*C251,IF(AA251&lt;&gt;"","See Comment",IFERROR(W251*X251*Y251*C251,"Fill all blue cells"))),"Fill all blue cells")&lt;0,0,(IFERROR(IF(E251="Y",(W251*(X251-PAR!$C$15)*Y251)*C251,IF(AA251&lt;&gt;"","See Comment",IFERROR(W251*X251*Y251*C251,"Fill all blue cells"))),"Fill all blue cells")))</f>
        <v>See Comment</v>
      </c>
      <c r="AA251"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1" s="116" t="str">
        <f t="shared" si="69"/>
        <v/>
      </c>
      <c r="AC251" s="20" t="str">
        <f>IF(AND(E251="Y",D251&lt;PAR!C252),"Non bus miles are less than the minumum of 10 (see column D)",IF(AND(E251="Y",F251&lt;&gt;""),"Non Bus Miles",""))</f>
        <v/>
      </c>
      <c r="AD251" s="20" t="str">
        <f t="shared" si="70"/>
        <v/>
      </c>
      <c r="AE251" s="20" t="str">
        <f t="shared" si="62"/>
        <v>Fill Rated Capacity (see column J),</v>
      </c>
      <c r="AF251" s="20" t="str">
        <f t="shared" si="63"/>
        <v/>
      </c>
      <c r="AG251" s="20" t="str">
        <f t="shared" si="64"/>
        <v>Fill reimbursement % for this LE (see column C)</v>
      </c>
      <c r="AH251" s="20" t="str">
        <f t="shared" si="65"/>
        <v>This route has no eligible riders (see columns L:O)</v>
      </c>
      <c r="AI251" s="20" t="str">
        <f t="shared" si="66"/>
        <v>Fill miles per day (see column D)</v>
      </c>
      <c r="AJ251" s="20" t="str">
        <f t="shared" si="71"/>
        <v>Fill number of operating days (see column F)</v>
      </c>
      <c r="AK251" s="20" t="str">
        <f t="shared" si="72"/>
        <v>Fill Non-Bus Miles with Y or N (See column E)</v>
      </c>
      <c r="AL251" s="98" t="s">
        <v>422</v>
      </c>
      <c r="AM251" s="20" t="str">
        <f t="shared" si="73"/>
        <v/>
      </c>
    </row>
    <row r="252" spans="1:39" x14ac:dyDescent="0.75">
      <c r="A252" s="1" t="s">
        <v>337</v>
      </c>
      <c r="B252" s="130"/>
      <c r="C252" s="33"/>
      <c r="D252" s="41"/>
      <c r="E252" s="48"/>
      <c r="F252" s="45"/>
      <c r="G252" s="32"/>
      <c r="H252" s="16" t="s">
        <v>50</v>
      </c>
      <c r="I252" s="126"/>
      <c r="J252" s="32"/>
      <c r="K252" s="16" t="str">
        <f t="shared" si="57"/>
        <v/>
      </c>
      <c r="L252" s="37"/>
      <c r="M252" s="37"/>
      <c r="N252" s="37"/>
      <c r="O252" s="37"/>
      <c r="P252" s="16" t="str">
        <f t="shared" si="67"/>
        <v/>
      </c>
      <c r="Q252" s="37"/>
      <c r="R252" s="37"/>
      <c r="S252" s="37"/>
      <c r="T252" s="37"/>
      <c r="U252" s="16">
        <f t="shared" si="58"/>
        <v>0</v>
      </c>
      <c r="V252" s="16" t="str">
        <f t="shared" si="59"/>
        <v/>
      </c>
      <c r="W252" s="16" t="str">
        <f>IF(E252="Y",PAR!$C$12,IF(J252="","",IF(J252&lt;11,PAR!$C$6,IF(J252&lt;50,PAR!$C$7,IF(J252&lt;60,PAR!$C$8,IF(J252&lt;70,PAR!$C$9,IF(J252&lt;80,PAR!$C$10,IF(J252&gt;79,PAR!$C$11,0))))))))</f>
        <v/>
      </c>
      <c r="X252" s="16" t="str">
        <f t="shared" si="60"/>
        <v/>
      </c>
      <c r="Y252" s="22" t="str">
        <f t="shared" si="61"/>
        <v/>
      </c>
      <c r="Z252" s="100" t="str">
        <f>IF(IFERROR(IF(E252="Y",(W252*(X252-PAR!$C$15)*Y252)*C252,IF(AA252&lt;&gt;"","See Comment",IFERROR(W252*X252*Y252*C252,"Fill all blue cells"))),"Fill all blue cells")&lt;0,0,(IFERROR(IF(E252="Y",(W252*(X252-PAR!$C$15)*Y252)*C252,IF(AA252&lt;&gt;"","See Comment",IFERROR(W252*X252*Y252*C252,"Fill all blue cells"))),"Fill all blue cells")))</f>
        <v>See Comment</v>
      </c>
      <c r="AA252"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2" s="116" t="str">
        <f t="shared" si="69"/>
        <v/>
      </c>
      <c r="AC252" s="20" t="str">
        <f>IF(AND(E252="Y",D252&lt;PAR!C253),"Non bus miles are less than the minumum of 10 (see column D)",IF(AND(E252="Y",F252&lt;&gt;""),"Non Bus Miles",""))</f>
        <v/>
      </c>
      <c r="AD252" s="20" t="str">
        <f t="shared" si="70"/>
        <v/>
      </c>
      <c r="AE252" s="20" t="str">
        <f t="shared" si="62"/>
        <v>Fill Rated Capacity (see column J),</v>
      </c>
      <c r="AF252" s="20" t="str">
        <f t="shared" si="63"/>
        <v/>
      </c>
      <c r="AG252" s="20" t="str">
        <f t="shared" si="64"/>
        <v>Fill reimbursement % for this LE (see column C)</v>
      </c>
      <c r="AH252" s="20" t="str">
        <f t="shared" si="65"/>
        <v>This route has no eligible riders (see columns L:O)</v>
      </c>
      <c r="AI252" s="20" t="str">
        <f t="shared" si="66"/>
        <v>Fill miles per day (see column D)</v>
      </c>
      <c r="AJ252" s="20" t="str">
        <f t="shared" si="71"/>
        <v>Fill number of operating days (see column F)</v>
      </c>
      <c r="AK252" s="20" t="str">
        <f t="shared" si="72"/>
        <v>Fill Non-Bus Miles with Y or N (See column E)</v>
      </c>
      <c r="AL252" s="98" t="s">
        <v>422</v>
      </c>
      <c r="AM252" s="20" t="str">
        <f t="shared" si="73"/>
        <v/>
      </c>
    </row>
    <row r="253" spans="1:39" x14ac:dyDescent="0.75">
      <c r="A253" s="1" t="s">
        <v>338</v>
      </c>
      <c r="B253" s="130"/>
      <c r="C253" s="36"/>
      <c r="D253" s="42"/>
      <c r="E253" s="47"/>
      <c r="F253" s="44"/>
      <c r="G253" s="35"/>
      <c r="H253" s="18" t="s">
        <v>50</v>
      </c>
      <c r="I253" s="125"/>
      <c r="J253" s="35"/>
      <c r="K253" s="18" t="str">
        <f t="shared" si="57"/>
        <v/>
      </c>
      <c r="L253" s="38"/>
      <c r="M253" s="38"/>
      <c r="N253" s="38"/>
      <c r="O253" s="38"/>
      <c r="P253" s="18" t="str">
        <f t="shared" si="67"/>
        <v/>
      </c>
      <c r="Q253" s="38"/>
      <c r="R253" s="38"/>
      <c r="S253" s="38"/>
      <c r="T253" s="38"/>
      <c r="U253" s="18">
        <f t="shared" si="58"/>
        <v>0</v>
      </c>
      <c r="V253" s="18" t="str">
        <f t="shared" si="59"/>
        <v/>
      </c>
      <c r="W253" s="18" t="str">
        <f>IF(E253="Y",PAR!$C$12,IF(J253="","",IF(J253&lt;11,PAR!$C$6,IF(J253&lt;50,PAR!$C$7,IF(J253&lt;60,PAR!$C$8,IF(J253&lt;70,PAR!$C$9,IF(J253&lt;80,PAR!$C$10,IF(J253&gt;79,PAR!$C$11,0))))))))</f>
        <v/>
      </c>
      <c r="X253" s="18" t="str">
        <f t="shared" si="60"/>
        <v/>
      </c>
      <c r="Y253" s="21" t="str">
        <f t="shared" si="61"/>
        <v/>
      </c>
      <c r="Z253" s="100" t="str">
        <f>IF(IFERROR(IF(E253="Y",(W253*(X253-PAR!$C$15)*Y253)*C253,IF(AA253&lt;&gt;"","See Comment",IFERROR(W253*X253*Y253*C253,"Fill all blue cells"))),"Fill all blue cells")&lt;0,0,(IFERROR(IF(E253="Y",(W253*(X253-PAR!$C$15)*Y253)*C253,IF(AA253&lt;&gt;"","See Comment",IFERROR(W253*X253*Y253*C253,"Fill all blue cells"))),"Fill all blue cells")))</f>
        <v>See Comment</v>
      </c>
      <c r="AA253"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3" s="116" t="str">
        <f t="shared" si="69"/>
        <v/>
      </c>
      <c r="AC253" s="20" t="str">
        <f>IF(AND(E253="Y",D253&lt;PAR!C254),"Non bus miles are less than the minumum of 10 (see column D)",IF(AND(E253="Y",F253&lt;&gt;""),"Non Bus Miles",""))</f>
        <v/>
      </c>
      <c r="AD253" s="20" t="str">
        <f t="shared" si="70"/>
        <v/>
      </c>
      <c r="AE253" s="20" t="str">
        <f t="shared" si="62"/>
        <v>Fill Rated Capacity (see column J),</v>
      </c>
      <c r="AF253" s="20" t="str">
        <f t="shared" si="63"/>
        <v/>
      </c>
      <c r="AG253" s="20" t="str">
        <f t="shared" si="64"/>
        <v>Fill reimbursement % for this LE (see column C)</v>
      </c>
      <c r="AH253" s="20" t="str">
        <f t="shared" si="65"/>
        <v>This route has no eligible riders (see columns L:O)</v>
      </c>
      <c r="AI253" s="20" t="str">
        <f t="shared" si="66"/>
        <v>Fill miles per day (see column D)</v>
      </c>
      <c r="AJ253" s="20" t="str">
        <f t="shared" si="71"/>
        <v>Fill number of operating days (see column F)</v>
      </c>
      <c r="AK253" s="20" t="str">
        <f t="shared" si="72"/>
        <v>Fill Non-Bus Miles with Y or N (See column E)</v>
      </c>
      <c r="AL253" s="98" t="s">
        <v>422</v>
      </c>
      <c r="AM253" s="20" t="str">
        <f t="shared" si="73"/>
        <v/>
      </c>
    </row>
    <row r="254" spans="1:39" x14ac:dyDescent="0.75">
      <c r="A254" s="1" t="s">
        <v>339</v>
      </c>
      <c r="B254" s="130"/>
      <c r="C254" s="33"/>
      <c r="D254" s="41"/>
      <c r="E254" s="48"/>
      <c r="F254" s="45"/>
      <c r="G254" s="32"/>
      <c r="H254" s="16" t="s">
        <v>50</v>
      </c>
      <c r="I254" s="126"/>
      <c r="J254" s="32"/>
      <c r="K254" s="16" t="str">
        <f t="shared" si="57"/>
        <v/>
      </c>
      <c r="L254" s="37"/>
      <c r="M254" s="37"/>
      <c r="N254" s="37"/>
      <c r="O254" s="37"/>
      <c r="P254" s="16" t="str">
        <f t="shared" si="67"/>
        <v/>
      </c>
      <c r="Q254" s="37"/>
      <c r="R254" s="37"/>
      <c r="S254" s="37"/>
      <c r="T254" s="37"/>
      <c r="U254" s="16">
        <f t="shared" si="58"/>
        <v>0</v>
      </c>
      <c r="V254" s="16" t="str">
        <f t="shared" si="59"/>
        <v/>
      </c>
      <c r="W254" s="16" t="str">
        <f>IF(E254="Y",PAR!$C$12,IF(J254="","",IF(J254&lt;11,PAR!$C$6,IF(J254&lt;50,PAR!$C$7,IF(J254&lt;60,PAR!$C$8,IF(J254&lt;70,PAR!$C$9,IF(J254&lt;80,PAR!$C$10,IF(J254&gt;79,PAR!$C$11,0))))))))</f>
        <v/>
      </c>
      <c r="X254" s="16" t="str">
        <f t="shared" si="60"/>
        <v/>
      </c>
      <c r="Y254" s="22" t="str">
        <f t="shared" si="61"/>
        <v/>
      </c>
      <c r="Z254" s="100" t="str">
        <f>IF(IFERROR(IF(E254="Y",(W254*(X254-PAR!$C$15)*Y254)*C254,IF(AA254&lt;&gt;"","See Comment",IFERROR(W254*X254*Y254*C254,"Fill all blue cells"))),"Fill all blue cells")&lt;0,0,(IFERROR(IF(E254="Y",(W254*(X254-PAR!$C$15)*Y254)*C254,IF(AA254&lt;&gt;"","See Comment",IFERROR(W254*X254*Y254*C254,"Fill all blue cells"))),"Fill all blue cells")))</f>
        <v>See Comment</v>
      </c>
      <c r="AA254"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4" s="116" t="str">
        <f t="shared" si="69"/>
        <v/>
      </c>
      <c r="AC254" s="20" t="str">
        <f>IF(AND(E254="Y",D254&lt;PAR!C255),"Non bus miles are less than the minumum of 10 (see column D)",IF(AND(E254="Y",F254&lt;&gt;""),"Non Bus Miles",""))</f>
        <v/>
      </c>
      <c r="AD254" s="20" t="str">
        <f t="shared" si="70"/>
        <v/>
      </c>
      <c r="AE254" s="20" t="str">
        <f t="shared" si="62"/>
        <v>Fill Rated Capacity (see column J),</v>
      </c>
      <c r="AF254" s="20" t="str">
        <f t="shared" si="63"/>
        <v/>
      </c>
      <c r="AG254" s="20" t="str">
        <f t="shared" si="64"/>
        <v>Fill reimbursement % for this LE (see column C)</v>
      </c>
      <c r="AH254" s="20" t="str">
        <f t="shared" si="65"/>
        <v>This route has no eligible riders (see columns L:O)</v>
      </c>
      <c r="AI254" s="20" t="str">
        <f t="shared" si="66"/>
        <v>Fill miles per day (see column D)</v>
      </c>
      <c r="AJ254" s="20" t="str">
        <f t="shared" si="71"/>
        <v>Fill number of operating days (see column F)</v>
      </c>
      <c r="AK254" s="20" t="str">
        <f t="shared" si="72"/>
        <v>Fill Non-Bus Miles with Y or N (See column E)</v>
      </c>
      <c r="AL254" s="98" t="s">
        <v>422</v>
      </c>
      <c r="AM254" s="20" t="str">
        <f t="shared" si="73"/>
        <v/>
      </c>
    </row>
    <row r="255" spans="1:39" x14ac:dyDescent="0.75">
      <c r="A255" s="1" t="s">
        <v>340</v>
      </c>
      <c r="B255" s="130"/>
      <c r="C255" s="36"/>
      <c r="D255" s="42"/>
      <c r="E255" s="47"/>
      <c r="F255" s="44"/>
      <c r="G255" s="35"/>
      <c r="H255" s="18" t="s">
        <v>50</v>
      </c>
      <c r="I255" s="125"/>
      <c r="J255" s="35"/>
      <c r="K255" s="18" t="str">
        <f t="shared" si="57"/>
        <v/>
      </c>
      <c r="L255" s="38"/>
      <c r="M255" s="38"/>
      <c r="N255" s="38"/>
      <c r="O255" s="38"/>
      <c r="P255" s="18" t="str">
        <f t="shared" si="67"/>
        <v/>
      </c>
      <c r="Q255" s="38"/>
      <c r="R255" s="38"/>
      <c r="S255" s="38"/>
      <c r="T255" s="38"/>
      <c r="U255" s="18">
        <f t="shared" si="58"/>
        <v>0</v>
      </c>
      <c r="V255" s="18" t="str">
        <f t="shared" si="59"/>
        <v/>
      </c>
      <c r="W255" s="18" t="str">
        <f>IF(E255="Y",PAR!$C$12,IF(J255="","",IF(J255&lt;11,PAR!$C$6,IF(J255&lt;50,PAR!$C$7,IF(J255&lt;60,PAR!$C$8,IF(J255&lt;70,PAR!$C$9,IF(J255&lt;80,PAR!$C$10,IF(J255&gt;79,PAR!$C$11,0))))))))</f>
        <v/>
      </c>
      <c r="X255" s="18" t="str">
        <f t="shared" si="60"/>
        <v/>
      </c>
      <c r="Y255" s="21" t="str">
        <f t="shared" si="61"/>
        <v/>
      </c>
      <c r="Z255" s="100" t="str">
        <f>IF(IFERROR(IF(E255="Y",(W255*(X255-PAR!$C$15)*Y255)*C255,IF(AA255&lt;&gt;"","See Comment",IFERROR(W255*X255*Y255*C255,"Fill all blue cells"))),"Fill all blue cells")&lt;0,0,(IFERROR(IF(E255="Y",(W255*(X255-PAR!$C$15)*Y255)*C255,IF(AA255&lt;&gt;"","See Comment",IFERROR(W255*X255*Y255*C255,"Fill all blue cells"))),"Fill all blue cells")))</f>
        <v>See Comment</v>
      </c>
      <c r="AA255"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5" s="116" t="str">
        <f t="shared" si="69"/>
        <v/>
      </c>
      <c r="AC255" s="20" t="str">
        <f>IF(AND(E255="Y",D255&lt;PAR!C256),"Non bus miles are less than the minumum of 10 (see column D)",IF(AND(E255="Y",F255&lt;&gt;""),"Non Bus Miles",""))</f>
        <v/>
      </c>
      <c r="AD255" s="20" t="str">
        <f t="shared" si="70"/>
        <v/>
      </c>
      <c r="AE255" s="20" t="str">
        <f t="shared" si="62"/>
        <v>Fill Rated Capacity (see column J),</v>
      </c>
      <c r="AF255" s="20" t="str">
        <f t="shared" si="63"/>
        <v/>
      </c>
      <c r="AG255" s="20" t="str">
        <f t="shared" si="64"/>
        <v>Fill reimbursement % for this LE (see column C)</v>
      </c>
      <c r="AH255" s="20" t="str">
        <f t="shared" si="65"/>
        <v>This route has no eligible riders (see columns L:O)</v>
      </c>
      <c r="AI255" s="20" t="str">
        <f t="shared" si="66"/>
        <v>Fill miles per day (see column D)</v>
      </c>
      <c r="AJ255" s="20" t="str">
        <f t="shared" si="71"/>
        <v>Fill number of operating days (see column F)</v>
      </c>
      <c r="AK255" s="20" t="str">
        <f t="shared" si="72"/>
        <v>Fill Non-Bus Miles with Y or N (See column E)</v>
      </c>
      <c r="AL255" s="98" t="s">
        <v>422</v>
      </c>
      <c r="AM255" s="20" t="str">
        <f t="shared" si="73"/>
        <v/>
      </c>
    </row>
    <row r="256" spans="1:39" x14ac:dyDescent="0.75">
      <c r="A256" s="1" t="s">
        <v>341</v>
      </c>
      <c r="B256" s="130"/>
      <c r="C256" s="33"/>
      <c r="D256" s="41"/>
      <c r="E256" s="48"/>
      <c r="F256" s="45"/>
      <c r="G256" s="32"/>
      <c r="H256" s="16" t="s">
        <v>50</v>
      </c>
      <c r="I256" s="126"/>
      <c r="J256" s="32"/>
      <c r="K256" s="16" t="str">
        <f t="shared" si="57"/>
        <v/>
      </c>
      <c r="L256" s="37"/>
      <c r="M256" s="37"/>
      <c r="N256" s="37"/>
      <c r="O256" s="37"/>
      <c r="P256" s="16" t="str">
        <f t="shared" si="67"/>
        <v/>
      </c>
      <c r="Q256" s="37"/>
      <c r="R256" s="37"/>
      <c r="S256" s="37"/>
      <c r="T256" s="37"/>
      <c r="U256" s="16">
        <f t="shared" si="58"/>
        <v>0</v>
      </c>
      <c r="V256" s="16" t="str">
        <f t="shared" si="59"/>
        <v/>
      </c>
      <c r="W256" s="16" t="str">
        <f>IF(E256="Y",PAR!$C$12,IF(J256="","",IF(J256&lt;11,PAR!$C$6,IF(J256&lt;50,PAR!$C$7,IF(J256&lt;60,PAR!$C$8,IF(J256&lt;70,PAR!$C$9,IF(J256&lt;80,PAR!$C$10,IF(J256&gt;79,PAR!$C$11,0))))))))</f>
        <v/>
      </c>
      <c r="X256" s="16" t="str">
        <f t="shared" si="60"/>
        <v/>
      </c>
      <c r="Y256" s="22" t="str">
        <f t="shared" si="61"/>
        <v/>
      </c>
      <c r="Z256" s="100" t="str">
        <f>IF(IFERROR(IF(E256="Y",(W256*(X256-PAR!$C$15)*Y256)*C256,IF(AA256&lt;&gt;"","See Comment",IFERROR(W256*X256*Y256*C256,"Fill all blue cells"))),"Fill all blue cells")&lt;0,0,(IFERROR(IF(E256="Y",(W256*(X256-PAR!$C$15)*Y256)*C256,IF(AA256&lt;&gt;"","See Comment",IFERROR(W256*X256*Y256*C256,"Fill all blue cells"))),"Fill all blue cells")))</f>
        <v>See Comment</v>
      </c>
      <c r="AA256"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6" s="116" t="str">
        <f t="shared" si="69"/>
        <v/>
      </c>
      <c r="AC256" s="20" t="str">
        <f>IF(AND(E256="Y",D256&lt;PAR!C257),"Non bus miles are less than the minumum of 10 (see column D)",IF(AND(E256="Y",F256&lt;&gt;""),"Non Bus Miles",""))</f>
        <v/>
      </c>
      <c r="AD256" s="20" t="str">
        <f t="shared" si="70"/>
        <v/>
      </c>
      <c r="AE256" s="20" t="str">
        <f t="shared" si="62"/>
        <v>Fill Rated Capacity (see column J),</v>
      </c>
      <c r="AF256" s="20" t="str">
        <f t="shared" si="63"/>
        <v/>
      </c>
      <c r="AG256" s="20" t="str">
        <f t="shared" si="64"/>
        <v>Fill reimbursement % for this LE (see column C)</v>
      </c>
      <c r="AH256" s="20" t="str">
        <f t="shared" si="65"/>
        <v>This route has no eligible riders (see columns L:O)</v>
      </c>
      <c r="AI256" s="20" t="str">
        <f t="shared" si="66"/>
        <v>Fill miles per day (see column D)</v>
      </c>
      <c r="AJ256" s="20" t="str">
        <f t="shared" si="71"/>
        <v>Fill number of operating days (see column F)</v>
      </c>
      <c r="AK256" s="20" t="str">
        <f t="shared" si="72"/>
        <v>Fill Non-Bus Miles with Y or N (See column E)</v>
      </c>
      <c r="AL256" s="98" t="s">
        <v>422</v>
      </c>
      <c r="AM256" s="20" t="str">
        <f t="shared" si="73"/>
        <v/>
      </c>
    </row>
    <row r="257" spans="1:39" x14ac:dyDescent="0.75">
      <c r="A257" s="1" t="s">
        <v>342</v>
      </c>
      <c r="B257" s="130"/>
      <c r="C257" s="36"/>
      <c r="D257" s="42"/>
      <c r="E257" s="47"/>
      <c r="F257" s="44"/>
      <c r="G257" s="35"/>
      <c r="H257" s="18" t="s">
        <v>50</v>
      </c>
      <c r="I257" s="125"/>
      <c r="J257" s="35"/>
      <c r="K257" s="18" t="str">
        <f t="shared" si="57"/>
        <v/>
      </c>
      <c r="L257" s="38"/>
      <c r="M257" s="38"/>
      <c r="N257" s="38"/>
      <c r="O257" s="38"/>
      <c r="P257" s="18" t="str">
        <f t="shared" si="67"/>
        <v/>
      </c>
      <c r="Q257" s="38"/>
      <c r="R257" s="38"/>
      <c r="S257" s="38"/>
      <c r="T257" s="38"/>
      <c r="U257" s="18">
        <f t="shared" si="58"/>
        <v>0</v>
      </c>
      <c r="V257" s="18" t="str">
        <f t="shared" si="59"/>
        <v/>
      </c>
      <c r="W257" s="18" t="str">
        <f>IF(E257="Y",PAR!$C$12,IF(J257="","",IF(J257&lt;11,PAR!$C$6,IF(J257&lt;50,PAR!$C$7,IF(J257&lt;60,PAR!$C$8,IF(J257&lt;70,PAR!$C$9,IF(J257&lt;80,PAR!$C$10,IF(J257&gt;79,PAR!$C$11,0))))))))</f>
        <v/>
      </c>
      <c r="X257" s="18" t="str">
        <f t="shared" si="60"/>
        <v/>
      </c>
      <c r="Y257" s="21" t="str">
        <f t="shared" si="61"/>
        <v/>
      </c>
      <c r="Z257" s="100" t="str">
        <f>IF(IFERROR(IF(E257="Y",(W257*(X257-PAR!$C$15)*Y257)*C257,IF(AA257&lt;&gt;"","See Comment",IFERROR(W257*X257*Y257*C257,"Fill all blue cells"))),"Fill all blue cells")&lt;0,0,(IFERROR(IF(E257="Y",(W257*(X257-PAR!$C$15)*Y257)*C257,IF(AA257&lt;&gt;"","See Comment",IFERROR(W257*X257*Y257*C257,"Fill all blue cells"))),"Fill all blue cells")))</f>
        <v>See Comment</v>
      </c>
      <c r="AA257"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7" s="116" t="str">
        <f t="shared" si="69"/>
        <v/>
      </c>
      <c r="AC257" s="20" t="str">
        <f>IF(AND(E257="Y",D257&lt;PAR!C258),"Non bus miles are less than the minumum of 10 (see column D)",IF(AND(E257="Y",F257&lt;&gt;""),"Non Bus Miles",""))</f>
        <v/>
      </c>
      <c r="AD257" s="20" t="str">
        <f t="shared" si="70"/>
        <v/>
      </c>
      <c r="AE257" s="20" t="str">
        <f t="shared" si="62"/>
        <v>Fill Rated Capacity (see column J),</v>
      </c>
      <c r="AF257" s="20" t="str">
        <f t="shared" si="63"/>
        <v/>
      </c>
      <c r="AG257" s="20" t="str">
        <f t="shared" si="64"/>
        <v>Fill reimbursement % for this LE (see column C)</v>
      </c>
      <c r="AH257" s="20" t="str">
        <f t="shared" si="65"/>
        <v>This route has no eligible riders (see columns L:O)</v>
      </c>
      <c r="AI257" s="20" t="str">
        <f t="shared" si="66"/>
        <v>Fill miles per day (see column D)</v>
      </c>
      <c r="AJ257" s="20" t="str">
        <f t="shared" si="71"/>
        <v>Fill number of operating days (see column F)</v>
      </c>
      <c r="AK257" s="20" t="str">
        <f t="shared" si="72"/>
        <v>Fill Non-Bus Miles with Y or N (See column E)</v>
      </c>
      <c r="AL257" s="98" t="s">
        <v>422</v>
      </c>
      <c r="AM257" s="20" t="str">
        <f t="shared" si="73"/>
        <v/>
      </c>
    </row>
    <row r="258" spans="1:39" x14ac:dyDescent="0.75">
      <c r="A258" s="1" t="s">
        <v>343</v>
      </c>
      <c r="B258" s="130"/>
      <c r="C258" s="33"/>
      <c r="D258" s="41"/>
      <c r="E258" s="48"/>
      <c r="F258" s="45"/>
      <c r="G258" s="32"/>
      <c r="H258" s="16" t="s">
        <v>50</v>
      </c>
      <c r="I258" s="126"/>
      <c r="J258" s="32"/>
      <c r="K258" s="16" t="str">
        <f t="shared" si="57"/>
        <v/>
      </c>
      <c r="L258" s="37"/>
      <c r="M258" s="37"/>
      <c r="N258" s="37"/>
      <c r="O258" s="37"/>
      <c r="P258" s="16" t="str">
        <f t="shared" si="67"/>
        <v/>
      </c>
      <c r="Q258" s="37"/>
      <c r="R258" s="37"/>
      <c r="S258" s="37"/>
      <c r="T258" s="37"/>
      <c r="U258" s="16">
        <f t="shared" si="58"/>
        <v>0</v>
      </c>
      <c r="V258" s="16" t="str">
        <f t="shared" si="59"/>
        <v/>
      </c>
      <c r="W258" s="16" t="str">
        <f>IF(E258="Y",PAR!$C$12,IF(J258="","",IF(J258&lt;11,PAR!$C$6,IF(J258&lt;50,PAR!$C$7,IF(J258&lt;60,PAR!$C$8,IF(J258&lt;70,PAR!$C$9,IF(J258&lt;80,PAR!$C$10,IF(J258&gt;79,PAR!$C$11,0))))))))</f>
        <v/>
      </c>
      <c r="X258" s="16" t="str">
        <f t="shared" si="60"/>
        <v/>
      </c>
      <c r="Y258" s="22" t="str">
        <f t="shared" si="61"/>
        <v/>
      </c>
      <c r="Z258" s="100" t="str">
        <f>IF(IFERROR(IF(E258="Y",(W258*(X258-PAR!$C$15)*Y258)*C258,IF(AA258&lt;&gt;"","See Comment",IFERROR(W258*X258*Y258*C258,"Fill all blue cells"))),"Fill all blue cells")&lt;0,0,(IFERROR(IF(E258="Y",(W258*(X258-PAR!$C$15)*Y258)*C258,IF(AA258&lt;&gt;"","See Comment",IFERROR(W258*X258*Y258*C258,"Fill all blue cells"))),"Fill all blue cells")))</f>
        <v>See Comment</v>
      </c>
      <c r="AA258"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8" s="116" t="str">
        <f t="shared" si="69"/>
        <v/>
      </c>
      <c r="AC258" s="20" t="str">
        <f>IF(AND(E258="Y",D258&lt;PAR!C259),"Non bus miles are less than the minumum of 10 (see column D)",IF(AND(E258="Y",F258&lt;&gt;""),"Non Bus Miles",""))</f>
        <v/>
      </c>
      <c r="AD258" s="20" t="str">
        <f t="shared" si="70"/>
        <v/>
      </c>
      <c r="AE258" s="20" t="str">
        <f t="shared" si="62"/>
        <v>Fill Rated Capacity (see column J),</v>
      </c>
      <c r="AF258" s="20" t="str">
        <f t="shared" si="63"/>
        <v/>
      </c>
      <c r="AG258" s="20" t="str">
        <f t="shared" si="64"/>
        <v>Fill reimbursement % for this LE (see column C)</v>
      </c>
      <c r="AH258" s="20" t="str">
        <f t="shared" si="65"/>
        <v>This route has no eligible riders (see columns L:O)</v>
      </c>
      <c r="AI258" s="20" t="str">
        <f t="shared" si="66"/>
        <v>Fill miles per day (see column D)</v>
      </c>
      <c r="AJ258" s="20" t="str">
        <f t="shared" si="71"/>
        <v>Fill number of operating days (see column F)</v>
      </c>
      <c r="AK258" s="20" t="str">
        <f t="shared" si="72"/>
        <v>Fill Non-Bus Miles with Y or N (See column E)</v>
      </c>
      <c r="AL258" s="98" t="s">
        <v>422</v>
      </c>
      <c r="AM258" s="20" t="str">
        <f t="shared" si="73"/>
        <v/>
      </c>
    </row>
    <row r="259" spans="1:39" x14ac:dyDescent="0.75">
      <c r="A259" s="1" t="s">
        <v>344</v>
      </c>
      <c r="B259" s="130"/>
      <c r="C259" s="36"/>
      <c r="D259" s="42"/>
      <c r="E259" s="47"/>
      <c r="F259" s="44"/>
      <c r="G259" s="35"/>
      <c r="H259" s="18" t="s">
        <v>50</v>
      </c>
      <c r="I259" s="125"/>
      <c r="J259" s="35"/>
      <c r="K259" s="18" t="str">
        <f t="shared" si="57"/>
        <v/>
      </c>
      <c r="L259" s="38"/>
      <c r="M259" s="38"/>
      <c r="N259" s="38"/>
      <c r="O259" s="38"/>
      <c r="P259" s="18" t="str">
        <f t="shared" si="67"/>
        <v/>
      </c>
      <c r="Q259" s="38"/>
      <c r="R259" s="38"/>
      <c r="S259" s="38"/>
      <c r="T259" s="38"/>
      <c r="U259" s="18">
        <f t="shared" si="58"/>
        <v>0</v>
      </c>
      <c r="V259" s="18" t="str">
        <f t="shared" si="59"/>
        <v/>
      </c>
      <c r="W259" s="18" t="str">
        <f>IF(E259="Y",PAR!$C$12,IF(J259="","",IF(J259&lt;11,PAR!$C$6,IF(J259&lt;50,PAR!$C$7,IF(J259&lt;60,PAR!$C$8,IF(J259&lt;70,PAR!$C$9,IF(J259&lt;80,PAR!$C$10,IF(J259&gt;79,PAR!$C$11,0))))))))</f>
        <v/>
      </c>
      <c r="X259" s="18" t="str">
        <f t="shared" si="60"/>
        <v/>
      </c>
      <c r="Y259" s="21" t="str">
        <f t="shared" si="61"/>
        <v/>
      </c>
      <c r="Z259" s="100" t="str">
        <f>IF(IFERROR(IF(E259="Y",(W259*(X259-PAR!$C$15)*Y259)*C259,IF(AA259&lt;&gt;"","See Comment",IFERROR(W259*X259*Y259*C259,"Fill all blue cells"))),"Fill all blue cells")&lt;0,0,(IFERROR(IF(E259="Y",(W259*(X259-PAR!$C$15)*Y259)*C259,IF(AA259&lt;&gt;"","See Comment",IFERROR(W259*X259*Y259*C259,"Fill all blue cells"))),"Fill all blue cells")))</f>
        <v>See Comment</v>
      </c>
      <c r="AA259"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9" s="116" t="str">
        <f t="shared" si="69"/>
        <v/>
      </c>
      <c r="AC259" s="20" t="str">
        <f>IF(AND(E259="Y",D259&lt;PAR!C260),"Non bus miles are less than the minumum of 10 (see column D)",IF(AND(E259="Y",F259&lt;&gt;""),"Non Bus Miles",""))</f>
        <v/>
      </c>
      <c r="AD259" s="20" t="str">
        <f t="shared" si="70"/>
        <v/>
      </c>
      <c r="AE259" s="20" t="str">
        <f t="shared" si="62"/>
        <v>Fill Rated Capacity (see column J),</v>
      </c>
      <c r="AF259" s="20" t="str">
        <f t="shared" si="63"/>
        <v/>
      </c>
      <c r="AG259" s="20" t="str">
        <f t="shared" si="64"/>
        <v>Fill reimbursement % for this LE (see column C)</v>
      </c>
      <c r="AH259" s="20" t="str">
        <f t="shared" si="65"/>
        <v>This route has no eligible riders (see columns L:O)</v>
      </c>
      <c r="AI259" s="20" t="str">
        <f t="shared" si="66"/>
        <v>Fill miles per day (see column D)</v>
      </c>
      <c r="AJ259" s="20" t="str">
        <f t="shared" si="71"/>
        <v>Fill number of operating days (see column F)</v>
      </c>
      <c r="AK259" s="20" t="str">
        <f t="shared" si="72"/>
        <v>Fill Non-Bus Miles with Y or N (See column E)</v>
      </c>
      <c r="AL259" s="98" t="s">
        <v>422</v>
      </c>
      <c r="AM259" s="20" t="str">
        <f t="shared" si="73"/>
        <v/>
      </c>
    </row>
    <row r="260" spans="1:39" x14ac:dyDescent="0.75">
      <c r="A260" s="1" t="s">
        <v>345</v>
      </c>
      <c r="B260" s="130"/>
      <c r="C260" s="33"/>
      <c r="D260" s="41"/>
      <c r="E260" s="48"/>
      <c r="F260" s="45"/>
      <c r="G260" s="32"/>
      <c r="H260" s="16" t="s">
        <v>50</v>
      </c>
      <c r="I260" s="126"/>
      <c r="J260" s="32"/>
      <c r="K260" s="16" t="str">
        <f t="shared" si="57"/>
        <v/>
      </c>
      <c r="L260" s="37"/>
      <c r="M260" s="37"/>
      <c r="N260" s="37"/>
      <c r="O260" s="37"/>
      <c r="P260" s="16" t="str">
        <f t="shared" si="67"/>
        <v/>
      </c>
      <c r="Q260" s="37"/>
      <c r="R260" s="37"/>
      <c r="S260" s="37"/>
      <c r="T260" s="37"/>
      <c r="U260" s="16">
        <f t="shared" si="58"/>
        <v>0</v>
      </c>
      <c r="V260" s="16" t="str">
        <f t="shared" si="59"/>
        <v/>
      </c>
      <c r="W260" s="16" t="str">
        <f>IF(E260="Y",PAR!$C$12,IF(J260="","",IF(J260&lt;11,PAR!$C$6,IF(J260&lt;50,PAR!$C$7,IF(J260&lt;60,PAR!$C$8,IF(J260&lt;70,PAR!$C$9,IF(J260&lt;80,PAR!$C$10,IF(J260&gt;79,PAR!$C$11,0))))))))</f>
        <v/>
      </c>
      <c r="X260" s="16" t="str">
        <f t="shared" si="60"/>
        <v/>
      </c>
      <c r="Y260" s="22" t="str">
        <f t="shared" si="61"/>
        <v/>
      </c>
      <c r="Z260" s="100" t="str">
        <f>IF(IFERROR(IF(E260="Y",(W260*(X260-PAR!$C$15)*Y260)*C260,IF(AA260&lt;&gt;"","See Comment",IFERROR(W260*X260*Y260*C260,"Fill all blue cells"))),"Fill all blue cells")&lt;0,0,(IFERROR(IF(E260="Y",(W260*(X260-PAR!$C$15)*Y260)*C260,IF(AA260&lt;&gt;"","See Comment",IFERROR(W260*X260*Y260*C260,"Fill all blue cells"))),"Fill all blue cells")))</f>
        <v>See Comment</v>
      </c>
      <c r="AA260"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0" s="116" t="str">
        <f t="shared" si="69"/>
        <v/>
      </c>
      <c r="AC260" s="20" t="str">
        <f>IF(AND(E260="Y",D260&lt;PAR!C261),"Non bus miles are less than the minumum of 10 (see column D)",IF(AND(E260="Y",F260&lt;&gt;""),"Non Bus Miles",""))</f>
        <v/>
      </c>
      <c r="AD260" s="20" t="str">
        <f t="shared" si="70"/>
        <v/>
      </c>
      <c r="AE260" s="20" t="str">
        <f t="shared" si="62"/>
        <v>Fill Rated Capacity (see column J),</v>
      </c>
      <c r="AF260" s="20" t="str">
        <f t="shared" si="63"/>
        <v/>
      </c>
      <c r="AG260" s="20" t="str">
        <f t="shared" si="64"/>
        <v>Fill reimbursement % for this LE (see column C)</v>
      </c>
      <c r="AH260" s="20" t="str">
        <f t="shared" si="65"/>
        <v>This route has no eligible riders (see columns L:O)</v>
      </c>
      <c r="AI260" s="20" t="str">
        <f t="shared" si="66"/>
        <v>Fill miles per day (see column D)</v>
      </c>
      <c r="AJ260" s="20" t="str">
        <f t="shared" si="71"/>
        <v>Fill number of operating days (see column F)</v>
      </c>
      <c r="AK260" s="20" t="str">
        <f t="shared" si="72"/>
        <v>Fill Non-Bus Miles with Y or N (See column E)</v>
      </c>
      <c r="AL260" s="98" t="s">
        <v>422</v>
      </c>
      <c r="AM260" s="20" t="str">
        <f t="shared" si="73"/>
        <v/>
      </c>
    </row>
    <row r="261" spans="1:39" x14ac:dyDescent="0.75">
      <c r="A261" s="1" t="s">
        <v>346</v>
      </c>
      <c r="B261" s="130"/>
      <c r="C261" s="36"/>
      <c r="D261" s="42"/>
      <c r="E261" s="47"/>
      <c r="F261" s="44"/>
      <c r="G261" s="35"/>
      <c r="H261" s="18" t="s">
        <v>50</v>
      </c>
      <c r="I261" s="125"/>
      <c r="J261" s="35"/>
      <c r="K261" s="18" t="str">
        <f t="shared" si="57"/>
        <v/>
      </c>
      <c r="L261" s="38"/>
      <c r="M261" s="38"/>
      <c r="N261" s="38"/>
      <c r="O261" s="38"/>
      <c r="P261" s="18" t="str">
        <f t="shared" si="67"/>
        <v/>
      </c>
      <c r="Q261" s="38"/>
      <c r="R261" s="38"/>
      <c r="S261" s="38"/>
      <c r="T261" s="38"/>
      <c r="U261" s="18">
        <f t="shared" si="58"/>
        <v>0</v>
      </c>
      <c r="V261" s="18" t="str">
        <f t="shared" si="59"/>
        <v/>
      </c>
      <c r="W261" s="18" t="str">
        <f>IF(E261="Y",PAR!$C$12,IF(J261="","",IF(J261&lt;11,PAR!$C$6,IF(J261&lt;50,PAR!$C$7,IF(J261&lt;60,PAR!$C$8,IF(J261&lt;70,PAR!$C$9,IF(J261&lt;80,PAR!$C$10,IF(J261&gt;79,PAR!$C$11,0))))))))</f>
        <v/>
      </c>
      <c r="X261" s="18" t="str">
        <f t="shared" si="60"/>
        <v/>
      </c>
      <c r="Y261" s="21" t="str">
        <f t="shared" si="61"/>
        <v/>
      </c>
      <c r="Z261" s="100" t="str">
        <f>IF(IFERROR(IF(E261="Y",(W261*(X261-PAR!$C$15)*Y261)*C261,IF(AA261&lt;&gt;"","See Comment",IFERROR(W261*X261*Y261*C261,"Fill all blue cells"))),"Fill all blue cells")&lt;0,0,(IFERROR(IF(E261="Y",(W261*(X261-PAR!$C$15)*Y261)*C261,IF(AA261&lt;&gt;"","See Comment",IFERROR(W261*X261*Y261*C261,"Fill all blue cells"))),"Fill all blue cells")))</f>
        <v>See Comment</v>
      </c>
      <c r="AA261"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1" s="116" t="str">
        <f t="shared" si="69"/>
        <v/>
      </c>
      <c r="AC261" s="20" t="str">
        <f>IF(AND(E261="Y",D261&lt;PAR!C262),"Non bus miles are less than the minumum of 10 (see column D)",IF(AND(E261="Y",F261&lt;&gt;""),"Non Bus Miles",""))</f>
        <v/>
      </c>
      <c r="AD261" s="20" t="str">
        <f t="shared" si="70"/>
        <v/>
      </c>
      <c r="AE261" s="20" t="str">
        <f t="shared" si="62"/>
        <v>Fill Rated Capacity (see column J),</v>
      </c>
      <c r="AF261" s="20" t="str">
        <f t="shared" si="63"/>
        <v/>
      </c>
      <c r="AG261" s="20" t="str">
        <f t="shared" si="64"/>
        <v>Fill reimbursement % for this LE (see column C)</v>
      </c>
      <c r="AH261" s="20" t="str">
        <f t="shared" si="65"/>
        <v>This route has no eligible riders (see columns L:O)</v>
      </c>
      <c r="AI261" s="20" t="str">
        <f t="shared" si="66"/>
        <v>Fill miles per day (see column D)</v>
      </c>
      <c r="AJ261" s="20" t="str">
        <f t="shared" si="71"/>
        <v>Fill number of operating days (see column F)</v>
      </c>
      <c r="AK261" s="20" t="str">
        <f t="shared" si="72"/>
        <v>Fill Non-Bus Miles with Y or N (See column E)</v>
      </c>
      <c r="AL261" s="98" t="s">
        <v>422</v>
      </c>
      <c r="AM261" s="20" t="str">
        <f t="shared" si="73"/>
        <v/>
      </c>
    </row>
    <row r="262" spans="1:39" x14ac:dyDescent="0.75">
      <c r="A262" s="1" t="s">
        <v>347</v>
      </c>
      <c r="B262" s="130"/>
      <c r="C262" s="33"/>
      <c r="D262" s="41"/>
      <c r="E262" s="48"/>
      <c r="F262" s="45"/>
      <c r="G262" s="32"/>
      <c r="H262" s="16" t="s">
        <v>50</v>
      </c>
      <c r="I262" s="126"/>
      <c r="J262" s="32"/>
      <c r="K262" s="16" t="str">
        <f t="shared" si="57"/>
        <v/>
      </c>
      <c r="L262" s="37"/>
      <c r="M262" s="37"/>
      <c r="N262" s="37"/>
      <c r="O262" s="37"/>
      <c r="P262" s="16" t="str">
        <f t="shared" si="67"/>
        <v/>
      </c>
      <c r="Q262" s="37"/>
      <c r="R262" s="37"/>
      <c r="S262" s="37"/>
      <c r="T262" s="37"/>
      <c r="U262" s="16">
        <f t="shared" si="58"/>
        <v>0</v>
      </c>
      <c r="V262" s="16" t="str">
        <f t="shared" si="59"/>
        <v/>
      </c>
      <c r="W262" s="16" t="str">
        <f>IF(E262="Y",PAR!$C$12,IF(J262="","",IF(J262&lt;11,PAR!$C$6,IF(J262&lt;50,PAR!$C$7,IF(J262&lt;60,PAR!$C$8,IF(J262&lt;70,PAR!$C$9,IF(J262&lt;80,PAR!$C$10,IF(J262&gt;79,PAR!$C$11,0))))))))</f>
        <v/>
      </c>
      <c r="X262" s="16" t="str">
        <f t="shared" si="60"/>
        <v/>
      </c>
      <c r="Y262" s="22" t="str">
        <f t="shared" si="61"/>
        <v/>
      </c>
      <c r="Z262" s="100" t="str">
        <f>IF(IFERROR(IF(E262="Y",(W262*(X262-PAR!$C$15)*Y262)*C262,IF(AA262&lt;&gt;"","See Comment",IFERROR(W262*X262*Y262*C262,"Fill all blue cells"))),"Fill all blue cells")&lt;0,0,(IFERROR(IF(E262="Y",(W262*(X262-PAR!$C$15)*Y262)*C262,IF(AA262&lt;&gt;"","See Comment",IFERROR(W262*X262*Y262*C262,"Fill all blue cells"))),"Fill all blue cells")))</f>
        <v>See Comment</v>
      </c>
      <c r="AA262"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2" s="116" t="str">
        <f t="shared" si="69"/>
        <v/>
      </c>
      <c r="AC262" s="20" t="str">
        <f>IF(AND(E262="Y",D262&lt;PAR!C263),"Non bus miles are less than the minumum of 10 (see column D)",IF(AND(E262="Y",F262&lt;&gt;""),"Non Bus Miles",""))</f>
        <v/>
      </c>
      <c r="AD262" s="20" t="str">
        <f t="shared" si="70"/>
        <v/>
      </c>
      <c r="AE262" s="20" t="str">
        <f t="shared" si="62"/>
        <v>Fill Rated Capacity (see column J),</v>
      </c>
      <c r="AF262" s="20" t="str">
        <f t="shared" si="63"/>
        <v/>
      </c>
      <c r="AG262" s="20" t="str">
        <f t="shared" si="64"/>
        <v>Fill reimbursement % for this LE (see column C)</v>
      </c>
      <c r="AH262" s="20" t="str">
        <f t="shared" si="65"/>
        <v>This route has no eligible riders (see columns L:O)</v>
      </c>
      <c r="AI262" s="20" t="str">
        <f t="shared" si="66"/>
        <v>Fill miles per day (see column D)</v>
      </c>
      <c r="AJ262" s="20" t="str">
        <f t="shared" si="71"/>
        <v>Fill number of operating days (see column F)</v>
      </c>
      <c r="AK262" s="20" t="str">
        <f t="shared" si="72"/>
        <v>Fill Non-Bus Miles with Y or N (See column E)</v>
      </c>
      <c r="AL262" s="98" t="s">
        <v>422</v>
      </c>
      <c r="AM262" s="20" t="str">
        <f t="shared" si="73"/>
        <v/>
      </c>
    </row>
    <row r="263" spans="1:39" x14ac:dyDescent="0.75">
      <c r="A263" s="1" t="s">
        <v>348</v>
      </c>
      <c r="B263" s="130"/>
      <c r="C263" s="36"/>
      <c r="D263" s="42"/>
      <c r="E263" s="47"/>
      <c r="F263" s="44"/>
      <c r="G263" s="35"/>
      <c r="H263" s="18" t="s">
        <v>50</v>
      </c>
      <c r="I263" s="125"/>
      <c r="J263" s="35"/>
      <c r="K263" s="18" t="str">
        <f t="shared" si="57"/>
        <v/>
      </c>
      <c r="L263" s="38"/>
      <c r="M263" s="38"/>
      <c r="N263" s="38"/>
      <c r="O263" s="38"/>
      <c r="P263" s="18" t="str">
        <f t="shared" si="67"/>
        <v/>
      </c>
      <c r="Q263" s="38"/>
      <c r="R263" s="38"/>
      <c r="S263" s="38"/>
      <c r="T263" s="38"/>
      <c r="U263" s="18">
        <f t="shared" si="58"/>
        <v>0</v>
      </c>
      <c r="V263" s="18" t="str">
        <f t="shared" si="59"/>
        <v/>
      </c>
      <c r="W263" s="18" t="str">
        <f>IF(E263="Y",PAR!$C$12,IF(J263="","",IF(J263&lt;11,PAR!$C$6,IF(J263&lt;50,PAR!$C$7,IF(J263&lt;60,PAR!$C$8,IF(J263&lt;70,PAR!$C$9,IF(J263&lt;80,PAR!$C$10,IF(J263&gt;79,PAR!$C$11,0))))))))</f>
        <v/>
      </c>
      <c r="X263" s="18" t="str">
        <f t="shared" si="60"/>
        <v/>
      </c>
      <c r="Y263" s="21" t="str">
        <f t="shared" si="61"/>
        <v/>
      </c>
      <c r="Z263" s="100" t="str">
        <f>IF(IFERROR(IF(E263="Y",(W263*(X263-PAR!$C$15)*Y263)*C263,IF(AA263&lt;&gt;"","See Comment",IFERROR(W263*X263*Y263*C263,"Fill all blue cells"))),"Fill all blue cells")&lt;0,0,(IFERROR(IF(E263="Y",(W263*(X263-PAR!$C$15)*Y263)*C263,IF(AA263&lt;&gt;"","See Comment",IFERROR(W263*X263*Y263*C263,"Fill all blue cells"))),"Fill all blue cells")))</f>
        <v>See Comment</v>
      </c>
      <c r="AA263"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3" s="116" t="str">
        <f t="shared" si="69"/>
        <v/>
      </c>
      <c r="AC263" s="20" t="str">
        <f>IF(AND(E263="Y",D263&lt;PAR!C264),"Non bus miles are less than the minumum of 10 (see column D)",IF(AND(E263="Y",F263&lt;&gt;""),"Non Bus Miles",""))</f>
        <v/>
      </c>
      <c r="AD263" s="20" t="str">
        <f t="shared" si="70"/>
        <v/>
      </c>
      <c r="AE263" s="20" t="str">
        <f t="shared" si="62"/>
        <v>Fill Rated Capacity (see column J),</v>
      </c>
      <c r="AF263" s="20" t="str">
        <f t="shared" si="63"/>
        <v/>
      </c>
      <c r="AG263" s="20" t="str">
        <f t="shared" si="64"/>
        <v>Fill reimbursement % for this LE (see column C)</v>
      </c>
      <c r="AH263" s="20" t="str">
        <f t="shared" si="65"/>
        <v>This route has no eligible riders (see columns L:O)</v>
      </c>
      <c r="AI263" s="20" t="str">
        <f t="shared" si="66"/>
        <v>Fill miles per day (see column D)</v>
      </c>
      <c r="AJ263" s="20" t="str">
        <f t="shared" si="71"/>
        <v>Fill number of operating days (see column F)</v>
      </c>
      <c r="AK263" s="20" t="str">
        <f t="shared" si="72"/>
        <v>Fill Non-Bus Miles with Y or N (See column E)</v>
      </c>
      <c r="AL263" s="98" t="s">
        <v>422</v>
      </c>
      <c r="AM263" s="20" t="str">
        <f t="shared" si="73"/>
        <v/>
      </c>
    </row>
    <row r="264" spans="1:39" x14ac:dyDescent="0.75">
      <c r="A264" s="1" t="s">
        <v>349</v>
      </c>
      <c r="B264" s="130"/>
      <c r="C264" s="33"/>
      <c r="D264" s="41"/>
      <c r="E264" s="48"/>
      <c r="F264" s="45"/>
      <c r="G264" s="32"/>
      <c r="H264" s="16" t="s">
        <v>50</v>
      </c>
      <c r="I264" s="126"/>
      <c r="J264" s="32"/>
      <c r="K264" s="16" t="str">
        <f t="shared" si="57"/>
        <v/>
      </c>
      <c r="L264" s="37"/>
      <c r="M264" s="37"/>
      <c r="N264" s="37"/>
      <c r="O264" s="37"/>
      <c r="P264" s="16" t="str">
        <f t="shared" si="67"/>
        <v/>
      </c>
      <c r="Q264" s="37"/>
      <c r="R264" s="37"/>
      <c r="S264" s="37"/>
      <c r="T264" s="37"/>
      <c r="U264" s="16">
        <f t="shared" si="58"/>
        <v>0</v>
      </c>
      <c r="V264" s="16" t="str">
        <f t="shared" si="59"/>
        <v/>
      </c>
      <c r="W264" s="16" t="str">
        <f>IF(E264="Y",PAR!$C$12,IF(J264="","",IF(J264&lt;11,PAR!$C$6,IF(J264&lt;50,PAR!$C$7,IF(J264&lt;60,PAR!$C$8,IF(J264&lt;70,PAR!$C$9,IF(J264&lt;80,PAR!$C$10,IF(J264&gt;79,PAR!$C$11,0))))))))</f>
        <v/>
      </c>
      <c r="X264" s="16" t="str">
        <f t="shared" si="60"/>
        <v/>
      </c>
      <c r="Y264" s="22" t="str">
        <f t="shared" si="61"/>
        <v/>
      </c>
      <c r="Z264" s="100" t="str">
        <f>IF(IFERROR(IF(E264="Y",(W264*(X264-PAR!$C$15)*Y264)*C264,IF(AA264&lt;&gt;"","See Comment",IFERROR(W264*X264*Y264*C264,"Fill all blue cells"))),"Fill all blue cells")&lt;0,0,(IFERROR(IF(E264="Y",(W264*(X264-PAR!$C$15)*Y264)*C264,IF(AA264&lt;&gt;"","See Comment",IFERROR(W264*X264*Y264*C264,"Fill all blue cells"))),"Fill all blue cells")))</f>
        <v>See Comment</v>
      </c>
      <c r="AA264"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4" s="116" t="str">
        <f t="shared" si="69"/>
        <v/>
      </c>
      <c r="AC264" s="20" t="str">
        <f>IF(AND(E264="Y",D264&lt;PAR!C265),"Non bus miles are less than the minumum of 10 (see column D)",IF(AND(E264="Y",F264&lt;&gt;""),"Non Bus Miles",""))</f>
        <v/>
      </c>
      <c r="AD264" s="20" t="str">
        <f t="shared" si="70"/>
        <v/>
      </c>
      <c r="AE264" s="20" t="str">
        <f t="shared" si="62"/>
        <v>Fill Rated Capacity (see column J),</v>
      </c>
      <c r="AF264" s="20" t="str">
        <f t="shared" si="63"/>
        <v/>
      </c>
      <c r="AG264" s="20" t="str">
        <f t="shared" si="64"/>
        <v>Fill reimbursement % for this LE (see column C)</v>
      </c>
      <c r="AH264" s="20" t="str">
        <f t="shared" si="65"/>
        <v>This route has no eligible riders (see columns L:O)</v>
      </c>
      <c r="AI264" s="20" t="str">
        <f t="shared" si="66"/>
        <v>Fill miles per day (see column D)</v>
      </c>
      <c r="AJ264" s="20" t="str">
        <f t="shared" si="71"/>
        <v>Fill number of operating days (see column F)</v>
      </c>
      <c r="AK264" s="20" t="str">
        <f t="shared" si="72"/>
        <v>Fill Non-Bus Miles with Y or N (See column E)</v>
      </c>
      <c r="AL264" s="98" t="s">
        <v>422</v>
      </c>
      <c r="AM264" s="20" t="str">
        <f t="shared" si="73"/>
        <v/>
      </c>
    </row>
    <row r="265" spans="1:39" x14ac:dyDescent="0.75">
      <c r="A265" s="1" t="s">
        <v>350</v>
      </c>
      <c r="B265" s="130"/>
      <c r="C265" s="36"/>
      <c r="D265" s="42"/>
      <c r="E265" s="47"/>
      <c r="F265" s="44"/>
      <c r="G265" s="35"/>
      <c r="H265" s="18" t="s">
        <v>50</v>
      </c>
      <c r="I265" s="125"/>
      <c r="J265" s="35"/>
      <c r="K265" s="18" t="str">
        <f t="shared" si="57"/>
        <v/>
      </c>
      <c r="L265" s="38"/>
      <c r="M265" s="38"/>
      <c r="N265" s="38"/>
      <c r="O265" s="38"/>
      <c r="P265" s="18" t="str">
        <f t="shared" si="67"/>
        <v/>
      </c>
      <c r="Q265" s="38"/>
      <c r="R265" s="38"/>
      <c r="S265" s="38"/>
      <c r="T265" s="38"/>
      <c r="U265" s="18">
        <f t="shared" si="58"/>
        <v>0</v>
      </c>
      <c r="V265" s="18" t="str">
        <f t="shared" si="59"/>
        <v/>
      </c>
      <c r="W265" s="18" t="str">
        <f>IF(E265="Y",PAR!$C$12,IF(J265="","",IF(J265&lt;11,PAR!$C$6,IF(J265&lt;50,PAR!$C$7,IF(J265&lt;60,PAR!$C$8,IF(J265&lt;70,PAR!$C$9,IF(J265&lt;80,PAR!$C$10,IF(J265&gt;79,PAR!$C$11,0))))))))</f>
        <v/>
      </c>
      <c r="X265" s="18" t="str">
        <f t="shared" si="60"/>
        <v/>
      </c>
      <c r="Y265" s="21" t="str">
        <f t="shared" si="61"/>
        <v/>
      </c>
      <c r="Z265" s="100" t="str">
        <f>IF(IFERROR(IF(E265="Y",(W265*(X265-PAR!$C$15)*Y265)*C265,IF(AA265&lt;&gt;"","See Comment",IFERROR(W265*X265*Y265*C265,"Fill all blue cells"))),"Fill all blue cells")&lt;0,0,(IFERROR(IF(E265="Y",(W265*(X265-PAR!$C$15)*Y265)*C265,IF(AA265&lt;&gt;"","See Comment",IFERROR(W265*X265*Y265*C265,"Fill all blue cells"))),"Fill all blue cells")))</f>
        <v>See Comment</v>
      </c>
      <c r="AA265"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5" s="116" t="str">
        <f t="shared" si="69"/>
        <v/>
      </c>
      <c r="AC265" s="20" t="str">
        <f>IF(AND(E265="Y",D265&lt;PAR!C266),"Non bus miles are less than the minumum of 10 (see column D)",IF(AND(E265="Y",F265&lt;&gt;""),"Non Bus Miles",""))</f>
        <v/>
      </c>
      <c r="AD265" s="20" t="str">
        <f t="shared" si="70"/>
        <v/>
      </c>
      <c r="AE265" s="20" t="str">
        <f t="shared" si="62"/>
        <v>Fill Rated Capacity (see column J),</v>
      </c>
      <c r="AF265" s="20" t="str">
        <f t="shared" si="63"/>
        <v/>
      </c>
      <c r="AG265" s="20" t="str">
        <f t="shared" si="64"/>
        <v>Fill reimbursement % for this LE (see column C)</v>
      </c>
      <c r="AH265" s="20" t="str">
        <f t="shared" si="65"/>
        <v>This route has no eligible riders (see columns L:O)</v>
      </c>
      <c r="AI265" s="20" t="str">
        <f t="shared" si="66"/>
        <v>Fill miles per day (see column D)</v>
      </c>
      <c r="AJ265" s="20" t="str">
        <f t="shared" si="71"/>
        <v>Fill number of operating days (see column F)</v>
      </c>
      <c r="AK265" s="20" t="str">
        <f t="shared" si="72"/>
        <v>Fill Non-Bus Miles with Y or N (See column E)</v>
      </c>
      <c r="AL265" s="98" t="s">
        <v>422</v>
      </c>
      <c r="AM265" s="20" t="str">
        <f t="shared" si="73"/>
        <v/>
      </c>
    </row>
    <row r="266" spans="1:39" x14ac:dyDescent="0.75">
      <c r="A266" s="1" t="s">
        <v>351</v>
      </c>
      <c r="B266" s="130"/>
      <c r="C266" s="33"/>
      <c r="D266" s="41"/>
      <c r="E266" s="48"/>
      <c r="F266" s="45"/>
      <c r="G266" s="32"/>
      <c r="H266" s="16" t="s">
        <v>50</v>
      </c>
      <c r="I266" s="126"/>
      <c r="J266" s="32"/>
      <c r="K266" s="16" t="str">
        <f t="shared" si="57"/>
        <v/>
      </c>
      <c r="L266" s="37"/>
      <c r="M266" s="37"/>
      <c r="N266" s="37"/>
      <c r="O266" s="37"/>
      <c r="P266" s="16" t="str">
        <f t="shared" si="67"/>
        <v/>
      </c>
      <c r="Q266" s="37"/>
      <c r="R266" s="37"/>
      <c r="S266" s="37"/>
      <c r="T266" s="37"/>
      <c r="U266" s="16">
        <f t="shared" si="58"/>
        <v>0</v>
      </c>
      <c r="V266" s="16" t="str">
        <f t="shared" si="59"/>
        <v/>
      </c>
      <c r="W266" s="16" t="str">
        <f>IF(E266="Y",PAR!$C$12,IF(J266="","",IF(J266&lt;11,PAR!$C$6,IF(J266&lt;50,PAR!$C$7,IF(J266&lt;60,PAR!$C$8,IF(J266&lt;70,PAR!$C$9,IF(J266&lt;80,PAR!$C$10,IF(J266&gt;79,PAR!$C$11,0))))))))</f>
        <v/>
      </c>
      <c r="X266" s="16" t="str">
        <f t="shared" si="60"/>
        <v/>
      </c>
      <c r="Y266" s="22" t="str">
        <f t="shared" si="61"/>
        <v/>
      </c>
      <c r="Z266" s="100" t="str">
        <f>IF(IFERROR(IF(E266="Y",(W266*(X266-PAR!$C$15)*Y266)*C266,IF(AA266&lt;&gt;"","See Comment",IFERROR(W266*X266*Y266*C266,"Fill all blue cells"))),"Fill all blue cells")&lt;0,0,(IFERROR(IF(E266="Y",(W266*(X266-PAR!$C$15)*Y266)*C266,IF(AA266&lt;&gt;"","See Comment",IFERROR(W266*X266*Y266*C266,"Fill all blue cells"))),"Fill all blue cells")))</f>
        <v>See Comment</v>
      </c>
      <c r="AA266"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6" s="116" t="str">
        <f t="shared" si="69"/>
        <v/>
      </c>
      <c r="AC266" s="20" t="str">
        <f>IF(AND(E266="Y",D266&lt;PAR!C267),"Non bus miles are less than the minumum of 10 (see column D)",IF(AND(E266="Y",F266&lt;&gt;""),"Non Bus Miles",""))</f>
        <v/>
      </c>
      <c r="AD266" s="20" t="str">
        <f t="shared" si="70"/>
        <v/>
      </c>
      <c r="AE266" s="20" t="str">
        <f t="shared" si="62"/>
        <v>Fill Rated Capacity (see column J),</v>
      </c>
      <c r="AF266" s="20" t="str">
        <f t="shared" si="63"/>
        <v/>
      </c>
      <c r="AG266" s="20" t="str">
        <f t="shared" si="64"/>
        <v>Fill reimbursement % for this LE (see column C)</v>
      </c>
      <c r="AH266" s="20" t="str">
        <f t="shared" si="65"/>
        <v>This route has no eligible riders (see columns L:O)</v>
      </c>
      <c r="AI266" s="20" t="str">
        <f t="shared" si="66"/>
        <v>Fill miles per day (see column D)</v>
      </c>
      <c r="AJ266" s="20" t="str">
        <f t="shared" si="71"/>
        <v>Fill number of operating days (see column F)</v>
      </c>
      <c r="AK266" s="20" t="str">
        <f t="shared" si="72"/>
        <v>Fill Non-Bus Miles with Y or N (See column E)</v>
      </c>
      <c r="AL266" s="98" t="s">
        <v>422</v>
      </c>
      <c r="AM266" s="20" t="str">
        <f t="shared" si="73"/>
        <v/>
      </c>
    </row>
    <row r="267" spans="1:39" x14ac:dyDescent="0.75">
      <c r="A267" s="1" t="s">
        <v>352</v>
      </c>
      <c r="B267" s="130"/>
      <c r="C267" s="36"/>
      <c r="D267" s="42"/>
      <c r="E267" s="47"/>
      <c r="F267" s="44"/>
      <c r="G267" s="35"/>
      <c r="H267" s="18" t="s">
        <v>50</v>
      </c>
      <c r="I267" s="125"/>
      <c r="J267" s="35"/>
      <c r="K267" s="18" t="str">
        <f t="shared" si="57"/>
        <v/>
      </c>
      <c r="L267" s="38"/>
      <c r="M267" s="38"/>
      <c r="N267" s="38"/>
      <c r="O267" s="38"/>
      <c r="P267" s="18" t="str">
        <f t="shared" si="67"/>
        <v/>
      </c>
      <c r="Q267" s="38"/>
      <c r="R267" s="38"/>
      <c r="S267" s="38"/>
      <c r="T267" s="38"/>
      <c r="U267" s="18">
        <f t="shared" si="58"/>
        <v>0</v>
      </c>
      <c r="V267" s="18" t="str">
        <f t="shared" si="59"/>
        <v/>
      </c>
      <c r="W267" s="18" t="str">
        <f>IF(E267="Y",PAR!$C$12,IF(J267="","",IF(J267&lt;11,PAR!$C$6,IF(J267&lt;50,PAR!$C$7,IF(J267&lt;60,PAR!$C$8,IF(J267&lt;70,PAR!$C$9,IF(J267&lt;80,PAR!$C$10,IF(J267&gt;79,PAR!$C$11,0))))))))</f>
        <v/>
      </c>
      <c r="X267" s="18" t="str">
        <f t="shared" si="60"/>
        <v/>
      </c>
      <c r="Y267" s="21" t="str">
        <f t="shared" si="61"/>
        <v/>
      </c>
      <c r="Z267" s="100" t="str">
        <f>IF(IFERROR(IF(E267="Y",(W267*(X267-PAR!$C$15)*Y267)*C267,IF(AA267&lt;&gt;"","See Comment",IFERROR(W267*X267*Y267*C267,"Fill all blue cells"))),"Fill all blue cells")&lt;0,0,(IFERROR(IF(E267="Y",(W267*(X267-PAR!$C$15)*Y267)*C267,IF(AA267&lt;&gt;"","See Comment",IFERROR(W267*X267*Y267*C267,"Fill all blue cells"))),"Fill all blue cells")))</f>
        <v>See Comment</v>
      </c>
      <c r="AA267"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7" s="116" t="str">
        <f t="shared" si="69"/>
        <v/>
      </c>
      <c r="AC267" s="20" t="str">
        <f>IF(AND(E267="Y",D267&lt;PAR!C268),"Non bus miles are less than the minumum of 10 (see column D)",IF(AND(E267="Y",F267&lt;&gt;""),"Non Bus Miles",""))</f>
        <v/>
      </c>
      <c r="AD267" s="20" t="str">
        <f t="shared" si="70"/>
        <v/>
      </c>
      <c r="AE267" s="20" t="str">
        <f t="shared" si="62"/>
        <v>Fill Rated Capacity (see column J),</v>
      </c>
      <c r="AF267" s="20" t="str">
        <f t="shared" si="63"/>
        <v/>
      </c>
      <c r="AG267" s="20" t="str">
        <f t="shared" si="64"/>
        <v>Fill reimbursement % for this LE (see column C)</v>
      </c>
      <c r="AH267" s="20" t="str">
        <f t="shared" si="65"/>
        <v>This route has no eligible riders (see columns L:O)</v>
      </c>
      <c r="AI267" s="20" t="str">
        <f t="shared" si="66"/>
        <v>Fill miles per day (see column D)</v>
      </c>
      <c r="AJ267" s="20" t="str">
        <f t="shared" si="71"/>
        <v>Fill number of operating days (see column F)</v>
      </c>
      <c r="AK267" s="20" t="str">
        <f t="shared" si="72"/>
        <v>Fill Non-Bus Miles with Y or N (See column E)</v>
      </c>
      <c r="AL267" s="98" t="s">
        <v>422</v>
      </c>
      <c r="AM267" s="20" t="str">
        <f t="shared" si="73"/>
        <v/>
      </c>
    </row>
    <row r="268" spans="1:39" x14ac:dyDescent="0.75">
      <c r="A268" s="1" t="s">
        <v>353</v>
      </c>
      <c r="B268" s="130"/>
      <c r="C268" s="33"/>
      <c r="D268" s="41"/>
      <c r="E268" s="48"/>
      <c r="F268" s="45"/>
      <c r="G268" s="32"/>
      <c r="H268" s="16" t="s">
        <v>50</v>
      </c>
      <c r="I268" s="126"/>
      <c r="J268" s="32"/>
      <c r="K268" s="16" t="str">
        <f t="shared" si="57"/>
        <v/>
      </c>
      <c r="L268" s="37"/>
      <c r="M268" s="37"/>
      <c r="N268" s="37"/>
      <c r="O268" s="37"/>
      <c r="P268" s="16" t="str">
        <f t="shared" si="67"/>
        <v/>
      </c>
      <c r="Q268" s="37"/>
      <c r="R268" s="37"/>
      <c r="S268" s="37"/>
      <c r="T268" s="37"/>
      <c r="U268" s="16">
        <f t="shared" si="58"/>
        <v>0</v>
      </c>
      <c r="V268" s="16" t="str">
        <f t="shared" si="59"/>
        <v/>
      </c>
      <c r="W268" s="16" t="str">
        <f>IF(E268="Y",PAR!$C$12,IF(J268="","",IF(J268&lt;11,PAR!$C$6,IF(J268&lt;50,PAR!$C$7,IF(J268&lt;60,PAR!$C$8,IF(J268&lt;70,PAR!$C$9,IF(J268&lt;80,PAR!$C$10,IF(J268&gt;79,PAR!$C$11,0))))))))</f>
        <v/>
      </c>
      <c r="X268" s="16" t="str">
        <f t="shared" si="60"/>
        <v/>
      </c>
      <c r="Y268" s="22" t="str">
        <f t="shared" si="61"/>
        <v/>
      </c>
      <c r="Z268" s="100" t="str">
        <f>IF(IFERROR(IF(E268="Y",(W268*(X268-PAR!$C$15)*Y268)*C268,IF(AA268&lt;&gt;"","See Comment",IFERROR(W268*X268*Y268*C268,"Fill all blue cells"))),"Fill all blue cells")&lt;0,0,(IFERROR(IF(E268="Y",(W268*(X268-PAR!$C$15)*Y268)*C268,IF(AA268&lt;&gt;"","See Comment",IFERROR(W268*X268*Y268*C268,"Fill all blue cells"))),"Fill all blue cells")))</f>
        <v>See Comment</v>
      </c>
      <c r="AA268"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8" s="116" t="str">
        <f t="shared" si="69"/>
        <v/>
      </c>
      <c r="AC268" s="20" t="str">
        <f>IF(AND(E268="Y",D268&lt;PAR!C269),"Non bus miles are less than the minumum of 10 (see column D)",IF(AND(E268="Y",F268&lt;&gt;""),"Non Bus Miles",""))</f>
        <v/>
      </c>
      <c r="AD268" s="20" t="str">
        <f t="shared" si="70"/>
        <v/>
      </c>
      <c r="AE268" s="20" t="str">
        <f t="shared" si="62"/>
        <v>Fill Rated Capacity (see column J),</v>
      </c>
      <c r="AF268" s="20" t="str">
        <f t="shared" si="63"/>
        <v/>
      </c>
      <c r="AG268" s="20" t="str">
        <f t="shared" si="64"/>
        <v>Fill reimbursement % for this LE (see column C)</v>
      </c>
      <c r="AH268" s="20" t="str">
        <f t="shared" si="65"/>
        <v>This route has no eligible riders (see columns L:O)</v>
      </c>
      <c r="AI268" s="20" t="str">
        <f t="shared" si="66"/>
        <v>Fill miles per day (see column D)</v>
      </c>
      <c r="AJ268" s="20" t="str">
        <f t="shared" si="71"/>
        <v>Fill number of operating days (see column F)</v>
      </c>
      <c r="AK268" s="20" t="str">
        <f t="shared" si="72"/>
        <v>Fill Non-Bus Miles with Y or N (See column E)</v>
      </c>
      <c r="AL268" s="98" t="s">
        <v>422</v>
      </c>
      <c r="AM268" s="20" t="str">
        <f t="shared" si="73"/>
        <v/>
      </c>
    </row>
    <row r="269" spans="1:39" x14ac:dyDescent="0.75">
      <c r="A269" s="1" t="s">
        <v>354</v>
      </c>
      <c r="B269" s="130"/>
      <c r="C269" s="36"/>
      <c r="D269" s="42"/>
      <c r="E269" s="47"/>
      <c r="F269" s="44"/>
      <c r="G269" s="35"/>
      <c r="H269" s="18" t="s">
        <v>50</v>
      </c>
      <c r="I269" s="125"/>
      <c r="J269" s="35"/>
      <c r="K269" s="18" t="str">
        <f t="shared" si="57"/>
        <v/>
      </c>
      <c r="L269" s="38"/>
      <c r="M269" s="38"/>
      <c r="N269" s="38"/>
      <c r="O269" s="38"/>
      <c r="P269" s="18" t="str">
        <f t="shared" si="67"/>
        <v/>
      </c>
      <c r="Q269" s="38"/>
      <c r="R269" s="38"/>
      <c r="S269" s="38"/>
      <c r="T269" s="38"/>
      <c r="U269" s="18">
        <f t="shared" si="58"/>
        <v>0</v>
      </c>
      <c r="V269" s="18" t="str">
        <f t="shared" si="59"/>
        <v/>
      </c>
      <c r="W269" s="18" t="str">
        <f>IF(E269="Y",PAR!$C$12,IF(J269="","",IF(J269&lt;11,PAR!$C$6,IF(J269&lt;50,PAR!$C$7,IF(J269&lt;60,PAR!$C$8,IF(J269&lt;70,PAR!$C$9,IF(J269&lt;80,PAR!$C$10,IF(J269&gt;79,PAR!$C$11,0))))))))</f>
        <v/>
      </c>
      <c r="X269" s="18" t="str">
        <f t="shared" si="60"/>
        <v/>
      </c>
      <c r="Y269" s="21" t="str">
        <f t="shared" si="61"/>
        <v/>
      </c>
      <c r="Z269" s="100" t="str">
        <f>IF(IFERROR(IF(E269="Y",(W269*(X269-PAR!$C$15)*Y269)*C269,IF(AA269&lt;&gt;"","See Comment",IFERROR(W269*X269*Y269*C269,"Fill all blue cells"))),"Fill all blue cells")&lt;0,0,(IFERROR(IF(E269="Y",(W269*(X269-PAR!$C$15)*Y269)*C269,IF(AA269&lt;&gt;"","See Comment",IFERROR(W269*X269*Y269*C269,"Fill all blue cells"))),"Fill all blue cells")))</f>
        <v>See Comment</v>
      </c>
      <c r="AA269"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9" s="116" t="str">
        <f t="shared" si="69"/>
        <v/>
      </c>
      <c r="AC269" s="20" t="str">
        <f>IF(AND(E269="Y",D269&lt;PAR!C270),"Non bus miles are less than the minumum of 10 (see column D)",IF(AND(E269="Y",F269&lt;&gt;""),"Non Bus Miles",""))</f>
        <v/>
      </c>
      <c r="AD269" s="20" t="str">
        <f t="shared" si="70"/>
        <v/>
      </c>
      <c r="AE269" s="20" t="str">
        <f t="shared" si="62"/>
        <v>Fill Rated Capacity (see column J),</v>
      </c>
      <c r="AF269" s="20" t="str">
        <f t="shared" si="63"/>
        <v/>
      </c>
      <c r="AG269" s="20" t="str">
        <f t="shared" si="64"/>
        <v>Fill reimbursement % for this LE (see column C)</v>
      </c>
      <c r="AH269" s="20" t="str">
        <f t="shared" si="65"/>
        <v>This route has no eligible riders (see columns L:O)</v>
      </c>
      <c r="AI269" s="20" t="str">
        <f t="shared" si="66"/>
        <v>Fill miles per day (see column D)</v>
      </c>
      <c r="AJ269" s="20" t="str">
        <f t="shared" si="71"/>
        <v>Fill number of operating days (see column F)</v>
      </c>
      <c r="AK269" s="20" t="str">
        <f t="shared" si="72"/>
        <v>Fill Non-Bus Miles with Y or N (See column E)</v>
      </c>
      <c r="AL269" s="98" t="s">
        <v>422</v>
      </c>
      <c r="AM269" s="20" t="str">
        <f t="shared" si="73"/>
        <v/>
      </c>
    </row>
    <row r="270" spans="1:39" x14ac:dyDescent="0.75">
      <c r="A270" s="1" t="s">
        <v>355</v>
      </c>
      <c r="B270" s="130"/>
      <c r="C270" s="33"/>
      <c r="D270" s="41"/>
      <c r="E270" s="48"/>
      <c r="F270" s="45"/>
      <c r="G270" s="32"/>
      <c r="H270" s="16" t="s">
        <v>50</v>
      </c>
      <c r="I270" s="126"/>
      <c r="J270" s="32"/>
      <c r="K270" s="16" t="str">
        <f t="shared" ref="K270:K303" si="74">IF(B270&lt;&gt;"",B270,"")</f>
        <v/>
      </c>
      <c r="L270" s="37"/>
      <c r="M270" s="37"/>
      <c r="N270" s="37"/>
      <c r="O270" s="37"/>
      <c r="P270" s="16" t="str">
        <f t="shared" si="67"/>
        <v/>
      </c>
      <c r="Q270" s="37"/>
      <c r="R270" s="37"/>
      <c r="S270" s="37"/>
      <c r="T270" s="37"/>
      <c r="U270" s="16">
        <f t="shared" ref="U270:U303" si="75">IFERROR(SUM(Q270:T270)+P270,0)</f>
        <v>0</v>
      </c>
      <c r="V270" s="16" t="str">
        <f t="shared" ref="V270:V303" si="76">IF(B270&lt;&gt;"",B270,"")</f>
        <v/>
      </c>
      <c r="W270" s="16" t="str">
        <f>IF(E270="Y",PAR!$C$12,IF(J270="","",IF(J270&lt;11,PAR!$C$6,IF(J270&lt;50,PAR!$C$7,IF(J270&lt;60,PAR!$C$8,IF(J270&lt;70,PAR!$C$9,IF(J270&lt;80,PAR!$C$10,IF(J270&gt;79,PAR!$C$11,0))))))))</f>
        <v/>
      </c>
      <c r="X270" s="16" t="str">
        <f t="shared" ref="X270:X303" si="77">IF(D270="","",D270)</f>
        <v/>
      </c>
      <c r="Y270" s="22" t="str">
        <f t="shared" ref="Y270:Y303" si="78">IF(F270="","",F270)</f>
        <v/>
      </c>
      <c r="Z270" s="100" t="str">
        <f>IF(IFERROR(IF(E270="Y",(W270*(X270-PAR!$C$15)*Y270)*C270,IF(AA270&lt;&gt;"","See Comment",IFERROR(W270*X270*Y270*C270,"Fill all blue cells"))),"Fill all blue cells")&lt;0,0,(IFERROR(IF(E270="Y",(W270*(X270-PAR!$C$15)*Y270)*C270,IF(AA270&lt;&gt;"","See Comment",IFERROR(W270*X270*Y270*C270,"Fill all blue cells"))),"Fill all blue cells")))</f>
        <v>See Comment</v>
      </c>
      <c r="AA270" s="96"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70" s="116" t="str">
        <f t="shared" si="69"/>
        <v/>
      </c>
      <c r="AC270" s="20" t="str">
        <f>IF(AND(E270="Y",D270&lt;PAR!C271),"Non bus miles are less than the minumum of 10 (see column D)",IF(AND(E270="Y",F270&lt;&gt;""),"Non Bus Miles",""))</f>
        <v/>
      </c>
      <c r="AD270" s="20" t="str">
        <f t="shared" si="70"/>
        <v/>
      </c>
      <c r="AE270" s="20" t="str">
        <f t="shared" ref="AE270:AE303" si="79">IF(OR(J270="",J270=0),"Fill Rated Capacity (see column J),","")</f>
        <v>Fill Rated Capacity (see column J),</v>
      </c>
      <c r="AF270" s="20" t="str">
        <f t="shared" ref="AF270:AF303" si="80">IF(F270&gt;180,"Exceeds the 180 Day Operating Limit (See Column F),","")</f>
        <v/>
      </c>
      <c r="AG270" s="20" t="str">
        <f t="shared" ref="AG270:AG303" si="81">IF(C270="","Fill reimbursement % for this LE (see column C)","")</f>
        <v>Fill reimbursement % for this LE (see column C)</v>
      </c>
      <c r="AH270" s="20" t="str">
        <f t="shared" si="65"/>
        <v>This route has no eligible riders (see columns L:O)</v>
      </c>
      <c r="AI270" s="20" t="str">
        <f t="shared" ref="AI270:AI303" si="82">IF(D270="","Fill miles per day (see column D)","")</f>
        <v>Fill miles per day (see column D)</v>
      </c>
      <c r="AJ270" s="20" t="str">
        <f t="shared" si="71"/>
        <v>Fill number of operating days (see column F)</v>
      </c>
      <c r="AK270" s="20" t="str">
        <f t="shared" si="72"/>
        <v>Fill Non-Bus Miles with Y or N (See column E)</v>
      </c>
      <c r="AL270" s="98" t="s">
        <v>422</v>
      </c>
      <c r="AM270" s="20" t="str">
        <f t="shared" si="73"/>
        <v/>
      </c>
    </row>
    <row r="271" spans="1:39" x14ac:dyDescent="0.75">
      <c r="A271" s="1" t="s">
        <v>356</v>
      </c>
      <c r="B271" s="130"/>
      <c r="C271" s="36"/>
      <c r="D271" s="42"/>
      <c r="E271" s="47"/>
      <c r="F271" s="44"/>
      <c r="G271" s="35"/>
      <c r="H271" s="18" t="s">
        <v>50</v>
      </c>
      <c r="I271" s="125"/>
      <c r="J271" s="35"/>
      <c r="K271" s="18" t="str">
        <f t="shared" si="74"/>
        <v/>
      </c>
      <c r="L271" s="38"/>
      <c r="M271" s="38"/>
      <c r="N271" s="38"/>
      <c r="O271" s="38"/>
      <c r="P271" s="18" t="str">
        <f t="shared" ref="P271:P303" si="83">IF(AND(L271="",M271="",N271="",O271=""),"",SUM(L271:O271))</f>
        <v/>
      </c>
      <c r="Q271" s="38"/>
      <c r="R271" s="38"/>
      <c r="S271" s="38"/>
      <c r="T271" s="38"/>
      <c r="U271" s="18">
        <f t="shared" si="75"/>
        <v>0</v>
      </c>
      <c r="V271" s="18" t="str">
        <f t="shared" si="76"/>
        <v/>
      </c>
      <c r="W271" s="18" t="str">
        <f>IF(E271="Y",PAR!$C$12,IF(J271="","",IF(J271&lt;11,PAR!$C$6,IF(J271&lt;50,PAR!$C$7,IF(J271&lt;60,PAR!$C$8,IF(J271&lt;70,PAR!$C$9,IF(J271&lt;80,PAR!$C$10,IF(J271&gt;79,PAR!$C$11,0))))))))</f>
        <v/>
      </c>
      <c r="X271" s="18" t="str">
        <f t="shared" si="77"/>
        <v/>
      </c>
      <c r="Y271" s="21" t="str">
        <f t="shared" si="78"/>
        <v/>
      </c>
      <c r="Z271" s="100" t="str">
        <f>IF(IFERROR(IF(E271="Y",(W271*(X271-PAR!$C$15)*Y271)*C271,IF(AA271&lt;&gt;"","See Comment",IFERROR(W271*X271*Y271*C271,"Fill all blue cells"))),"Fill all blue cells")&lt;0,0,(IFERROR(IF(E271="Y",(W271*(X271-PAR!$C$15)*Y271)*C271,IF(AA271&lt;&gt;"","See Comment",IFERROR(W271*X271*Y271*C271,"Fill all blue cells"))),"Fill all blue cells")))</f>
        <v>See Comment</v>
      </c>
      <c r="AA271" s="96" t="str">
        <f t="shared" ref="AA271:AA303" si="84">IF(AC271="Non Bus Miles","",IF(AND(AC271="",AD271="",AE271="",AF271="",AG271="",AH271="",AI271="",AJ271="",AK271=""),"",AC271&amp;" "&amp;AD271&amp;""&amp;AE271&amp;""&amp;AF271&amp;""&amp;""&amp;AG271&amp;""&amp;AH271&amp;""&amp;AI271&amp;""&amp;AJ271&amp;""&amp;AK271))</f>
        <v xml:space="preserve"> Fill Rated Capacity (see column J),Fill reimbursement % for this LE (see column C)This route has no eligible riders (see columns L:O)Fill miles per day (see column D)Fill number of operating days (see column F)Fill Non-Bus Miles with Y or N (See column E)</v>
      </c>
      <c r="AB271" s="116" t="str">
        <f t="shared" ref="AB271:AB303" si="85">AM271</f>
        <v/>
      </c>
      <c r="AC271" s="20" t="str">
        <f>IF(AND(E271="Y",D271&lt;PAR!C272),"Non bus miles are less than the minumum of 10 (see column D)",IF(AND(E271="Y",F271&lt;&gt;""),"Non Bus Miles",""))</f>
        <v/>
      </c>
      <c r="AD271" s="20" t="str">
        <f t="shared" ref="AD271:AD303" si="86">IF(AND(E271="N",U271&gt;J271),"Riders Exceed Capacity of Bus,","")</f>
        <v/>
      </c>
      <c r="AE271" s="20" t="str">
        <f t="shared" si="79"/>
        <v>Fill Rated Capacity (see column J),</v>
      </c>
      <c r="AF271" s="20" t="str">
        <f t="shared" si="80"/>
        <v/>
      </c>
      <c r="AG271" s="20" t="str">
        <f t="shared" si="81"/>
        <v>Fill reimbursement % for this LE (see column C)</v>
      </c>
      <c r="AH271" s="20" t="str">
        <f t="shared" ref="AH271:AH303" si="87">IF(OR(P271="",P271=0),"This route has no eligible riders (see columns L:O)","")</f>
        <v>This route has no eligible riders (see columns L:O)</v>
      </c>
      <c r="AI271" s="20" t="str">
        <f t="shared" si="82"/>
        <v>Fill miles per day (see column D)</v>
      </c>
      <c r="AJ271" s="20" t="str">
        <f t="shared" ref="AJ271:AJ303" si="88">IF(F271="","Fill number of operating days (see column F)","")</f>
        <v>Fill number of operating days (see column F)</v>
      </c>
      <c r="AK271" s="20" t="str">
        <f t="shared" ref="AK271:AK303" si="89">IF(OR(E271="Y",E271="N"),"","Fill Non-Bus Miles with Y or N (See column E)")</f>
        <v>Fill Non-Bus Miles with Y or N (See column E)</v>
      </c>
      <c r="AL271" s="98" t="s">
        <v>422</v>
      </c>
      <c r="AM271" s="20" t="str">
        <f t="shared" ref="AM271:AM303" si="90">IF(AND(E271="N",J271&lt;11),"You have recorded this as a type E multipurpose vehicle","")</f>
        <v/>
      </c>
    </row>
    <row r="272" spans="1:39" x14ac:dyDescent="0.75">
      <c r="A272" s="1" t="s">
        <v>357</v>
      </c>
      <c r="B272" s="130"/>
      <c r="C272" s="33"/>
      <c r="D272" s="41"/>
      <c r="E272" s="48"/>
      <c r="F272" s="45"/>
      <c r="G272" s="32"/>
      <c r="H272" s="16" t="s">
        <v>50</v>
      </c>
      <c r="I272" s="126"/>
      <c r="J272" s="32"/>
      <c r="K272" s="16" t="str">
        <f t="shared" si="74"/>
        <v/>
      </c>
      <c r="L272" s="37"/>
      <c r="M272" s="37"/>
      <c r="N272" s="37"/>
      <c r="O272" s="37"/>
      <c r="P272" s="16" t="str">
        <f t="shared" si="83"/>
        <v/>
      </c>
      <c r="Q272" s="37"/>
      <c r="R272" s="37"/>
      <c r="S272" s="37"/>
      <c r="T272" s="37"/>
      <c r="U272" s="16">
        <f t="shared" si="75"/>
        <v>0</v>
      </c>
      <c r="V272" s="16" t="str">
        <f t="shared" si="76"/>
        <v/>
      </c>
      <c r="W272" s="16" t="str">
        <f>IF(E272="Y",PAR!$C$12,IF(J272="","",IF(J272&lt;11,PAR!$C$6,IF(J272&lt;50,PAR!$C$7,IF(J272&lt;60,PAR!$C$8,IF(J272&lt;70,PAR!$C$9,IF(J272&lt;80,PAR!$C$10,IF(J272&gt;79,PAR!$C$11,0))))))))</f>
        <v/>
      </c>
      <c r="X272" s="16" t="str">
        <f t="shared" si="77"/>
        <v/>
      </c>
      <c r="Y272" s="22" t="str">
        <f t="shared" si="78"/>
        <v/>
      </c>
      <c r="Z272" s="100" t="str">
        <f>IF(IFERROR(IF(E272="Y",(W272*(X272-PAR!$C$15)*Y272)*C272,IF(AA272&lt;&gt;"","See Comment",IFERROR(W272*X272*Y272*C272,"Fill all blue cells"))),"Fill all blue cells")&lt;0,0,(IFERROR(IF(E272="Y",(W272*(X272-PAR!$C$15)*Y272)*C272,IF(AA272&lt;&gt;"","See Comment",IFERROR(W272*X272*Y272*C272,"Fill all blue cells"))),"Fill all blue cells")))</f>
        <v>See Comment</v>
      </c>
      <c r="AA272"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2" s="116" t="str">
        <f t="shared" si="85"/>
        <v/>
      </c>
      <c r="AC272" s="20" t="str">
        <f>IF(AND(E272="Y",D272&lt;PAR!C273),"Non bus miles are less than the minumum of 10 (see column D)",IF(AND(E272="Y",F272&lt;&gt;""),"Non Bus Miles",""))</f>
        <v/>
      </c>
      <c r="AD272" s="20" t="str">
        <f t="shared" si="86"/>
        <v/>
      </c>
      <c r="AE272" s="20" t="str">
        <f t="shared" si="79"/>
        <v>Fill Rated Capacity (see column J),</v>
      </c>
      <c r="AF272" s="20" t="str">
        <f t="shared" si="80"/>
        <v/>
      </c>
      <c r="AG272" s="20" t="str">
        <f t="shared" si="81"/>
        <v>Fill reimbursement % for this LE (see column C)</v>
      </c>
      <c r="AH272" s="20" t="str">
        <f t="shared" si="87"/>
        <v>This route has no eligible riders (see columns L:O)</v>
      </c>
      <c r="AI272" s="20" t="str">
        <f t="shared" si="82"/>
        <v>Fill miles per day (see column D)</v>
      </c>
      <c r="AJ272" s="20" t="str">
        <f t="shared" si="88"/>
        <v>Fill number of operating days (see column F)</v>
      </c>
      <c r="AK272" s="20" t="str">
        <f t="shared" si="89"/>
        <v>Fill Non-Bus Miles with Y or N (See column E)</v>
      </c>
      <c r="AL272" s="98" t="s">
        <v>422</v>
      </c>
      <c r="AM272" s="20" t="str">
        <f t="shared" si="90"/>
        <v/>
      </c>
    </row>
    <row r="273" spans="1:39" x14ac:dyDescent="0.75">
      <c r="A273" s="1" t="s">
        <v>358</v>
      </c>
      <c r="B273" s="130"/>
      <c r="C273" s="36"/>
      <c r="D273" s="42"/>
      <c r="E273" s="47"/>
      <c r="F273" s="44"/>
      <c r="G273" s="35"/>
      <c r="H273" s="18" t="s">
        <v>50</v>
      </c>
      <c r="I273" s="125"/>
      <c r="J273" s="35"/>
      <c r="K273" s="18" t="str">
        <f t="shared" si="74"/>
        <v/>
      </c>
      <c r="L273" s="38"/>
      <c r="M273" s="38"/>
      <c r="N273" s="38"/>
      <c r="O273" s="38"/>
      <c r="P273" s="18" t="str">
        <f t="shared" si="83"/>
        <v/>
      </c>
      <c r="Q273" s="38"/>
      <c r="R273" s="38"/>
      <c r="S273" s="38"/>
      <c r="T273" s="38"/>
      <c r="U273" s="18">
        <f t="shared" si="75"/>
        <v>0</v>
      </c>
      <c r="V273" s="18" t="str">
        <f t="shared" si="76"/>
        <v/>
      </c>
      <c r="W273" s="18" t="str">
        <f>IF(E273="Y",PAR!$C$12,IF(J273="","",IF(J273&lt;11,PAR!$C$6,IF(J273&lt;50,PAR!$C$7,IF(J273&lt;60,PAR!$C$8,IF(J273&lt;70,PAR!$C$9,IF(J273&lt;80,PAR!$C$10,IF(J273&gt;79,PAR!$C$11,0))))))))</f>
        <v/>
      </c>
      <c r="X273" s="18" t="str">
        <f t="shared" si="77"/>
        <v/>
      </c>
      <c r="Y273" s="21" t="str">
        <f t="shared" si="78"/>
        <v/>
      </c>
      <c r="Z273" s="100" t="str">
        <f>IF(IFERROR(IF(E273="Y",(W273*(X273-PAR!$C$15)*Y273)*C273,IF(AA273&lt;&gt;"","See Comment",IFERROR(W273*X273*Y273*C273,"Fill all blue cells"))),"Fill all blue cells")&lt;0,0,(IFERROR(IF(E273="Y",(W273*(X273-PAR!$C$15)*Y273)*C273,IF(AA273&lt;&gt;"","See Comment",IFERROR(W273*X273*Y273*C273,"Fill all blue cells"))),"Fill all blue cells")))</f>
        <v>See Comment</v>
      </c>
      <c r="AA273"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3" s="116" t="str">
        <f t="shared" si="85"/>
        <v/>
      </c>
      <c r="AC273" s="20" t="str">
        <f>IF(AND(E273="Y",D273&lt;PAR!C274),"Non bus miles are less than the minumum of 10 (see column D)",IF(AND(E273="Y",F273&lt;&gt;""),"Non Bus Miles",""))</f>
        <v/>
      </c>
      <c r="AD273" s="20" t="str">
        <f t="shared" si="86"/>
        <v/>
      </c>
      <c r="AE273" s="20" t="str">
        <f t="shared" si="79"/>
        <v>Fill Rated Capacity (see column J),</v>
      </c>
      <c r="AF273" s="20" t="str">
        <f t="shared" si="80"/>
        <v/>
      </c>
      <c r="AG273" s="20" t="str">
        <f t="shared" si="81"/>
        <v>Fill reimbursement % for this LE (see column C)</v>
      </c>
      <c r="AH273" s="20" t="str">
        <f t="shared" si="87"/>
        <v>This route has no eligible riders (see columns L:O)</v>
      </c>
      <c r="AI273" s="20" t="str">
        <f t="shared" si="82"/>
        <v>Fill miles per day (see column D)</v>
      </c>
      <c r="AJ273" s="20" t="str">
        <f t="shared" si="88"/>
        <v>Fill number of operating days (see column F)</v>
      </c>
      <c r="AK273" s="20" t="str">
        <f t="shared" si="89"/>
        <v>Fill Non-Bus Miles with Y or N (See column E)</v>
      </c>
      <c r="AL273" s="98" t="s">
        <v>422</v>
      </c>
      <c r="AM273" s="20" t="str">
        <f t="shared" si="90"/>
        <v/>
      </c>
    </row>
    <row r="274" spans="1:39" x14ac:dyDescent="0.75">
      <c r="A274" s="1" t="s">
        <v>359</v>
      </c>
      <c r="B274" s="130"/>
      <c r="C274" s="33"/>
      <c r="D274" s="41"/>
      <c r="E274" s="48"/>
      <c r="F274" s="45"/>
      <c r="G274" s="32"/>
      <c r="H274" s="16" t="s">
        <v>50</v>
      </c>
      <c r="I274" s="126"/>
      <c r="J274" s="32"/>
      <c r="K274" s="16" t="str">
        <f t="shared" si="74"/>
        <v/>
      </c>
      <c r="L274" s="37"/>
      <c r="M274" s="37"/>
      <c r="N274" s="37"/>
      <c r="O274" s="37"/>
      <c r="P274" s="16" t="str">
        <f t="shared" si="83"/>
        <v/>
      </c>
      <c r="Q274" s="37"/>
      <c r="R274" s="37"/>
      <c r="S274" s="37"/>
      <c r="T274" s="37"/>
      <c r="U274" s="16">
        <f t="shared" si="75"/>
        <v>0</v>
      </c>
      <c r="V274" s="16" t="str">
        <f t="shared" si="76"/>
        <v/>
      </c>
      <c r="W274" s="16" t="str">
        <f>IF(E274="Y",PAR!$C$12,IF(J274="","",IF(J274&lt;11,PAR!$C$6,IF(J274&lt;50,PAR!$C$7,IF(J274&lt;60,PAR!$C$8,IF(J274&lt;70,PAR!$C$9,IF(J274&lt;80,PAR!$C$10,IF(J274&gt;79,PAR!$C$11,0))))))))</f>
        <v/>
      </c>
      <c r="X274" s="16" t="str">
        <f t="shared" si="77"/>
        <v/>
      </c>
      <c r="Y274" s="22" t="str">
        <f t="shared" si="78"/>
        <v/>
      </c>
      <c r="Z274" s="100" t="str">
        <f>IF(IFERROR(IF(E274="Y",(W274*(X274-PAR!$C$15)*Y274)*C274,IF(AA274&lt;&gt;"","See Comment",IFERROR(W274*X274*Y274*C274,"Fill all blue cells"))),"Fill all blue cells")&lt;0,0,(IFERROR(IF(E274="Y",(W274*(X274-PAR!$C$15)*Y274)*C274,IF(AA274&lt;&gt;"","See Comment",IFERROR(W274*X274*Y274*C274,"Fill all blue cells"))),"Fill all blue cells")))</f>
        <v>See Comment</v>
      </c>
      <c r="AA274"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4" s="116" t="str">
        <f t="shared" si="85"/>
        <v/>
      </c>
      <c r="AC274" s="20" t="str">
        <f>IF(AND(E274="Y",D274&lt;PAR!C275),"Non bus miles are less than the minumum of 10 (see column D)",IF(AND(E274="Y",F274&lt;&gt;""),"Non Bus Miles",""))</f>
        <v/>
      </c>
      <c r="AD274" s="20" t="str">
        <f t="shared" si="86"/>
        <v/>
      </c>
      <c r="AE274" s="20" t="str">
        <f t="shared" si="79"/>
        <v>Fill Rated Capacity (see column J),</v>
      </c>
      <c r="AF274" s="20" t="str">
        <f t="shared" si="80"/>
        <v/>
      </c>
      <c r="AG274" s="20" t="str">
        <f t="shared" si="81"/>
        <v>Fill reimbursement % for this LE (see column C)</v>
      </c>
      <c r="AH274" s="20" t="str">
        <f t="shared" si="87"/>
        <v>This route has no eligible riders (see columns L:O)</v>
      </c>
      <c r="AI274" s="20" t="str">
        <f t="shared" si="82"/>
        <v>Fill miles per day (see column D)</v>
      </c>
      <c r="AJ274" s="20" t="str">
        <f t="shared" si="88"/>
        <v>Fill number of operating days (see column F)</v>
      </c>
      <c r="AK274" s="20" t="str">
        <f t="shared" si="89"/>
        <v>Fill Non-Bus Miles with Y or N (See column E)</v>
      </c>
      <c r="AL274" s="98" t="s">
        <v>422</v>
      </c>
      <c r="AM274" s="20" t="str">
        <f t="shared" si="90"/>
        <v/>
      </c>
    </row>
    <row r="275" spans="1:39" x14ac:dyDescent="0.75">
      <c r="A275" s="1" t="s">
        <v>360</v>
      </c>
      <c r="B275" s="130"/>
      <c r="C275" s="36"/>
      <c r="D275" s="42"/>
      <c r="E275" s="47"/>
      <c r="F275" s="44"/>
      <c r="G275" s="35"/>
      <c r="H275" s="18" t="s">
        <v>50</v>
      </c>
      <c r="I275" s="125"/>
      <c r="J275" s="35"/>
      <c r="K275" s="18" t="str">
        <f t="shared" si="74"/>
        <v/>
      </c>
      <c r="L275" s="38"/>
      <c r="M275" s="38"/>
      <c r="N275" s="38"/>
      <c r="O275" s="38"/>
      <c r="P275" s="18" t="str">
        <f t="shared" si="83"/>
        <v/>
      </c>
      <c r="Q275" s="38"/>
      <c r="R275" s="38"/>
      <c r="S275" s="38"/>
      <c r="T275" s="38"/>
      <c r="U275" s="18">
        <f t="shared" si="75"/>
        <v>0</v>
      </c>
      <c r="V275" s="18" t="str">
        <f t="shared" si="76"/>
        <v/>
      </c>
      <c r="W275" s="18" t="str">
        <f>IF(E275="Y",PAR!$C$12,IF(J275="","",IF(J275&lt;11,PAR!$C$6,IF(J275&lt;50,PAR!$C$7,IF(J275&lt;60,PAR!$C$8,IF(J275&lt;70,PAR!$C$9,IF(J275&lt;80,PAR!$C$10,IF(J275&gt;79,PAR!$C$11,0))))))))</f>
        <v/>
      </c>
      <c r="X275" s="18" t="str">
        <f t="shared" si="77"/>
        <v/>
      </c>
      <c r="Y275" s="21" t="str">
        <f t="shared" si="78"/>
        <v/>
      </c>
      <c r="Z275" s="100" t="str">
        <f>IF(IFERROR(IF(E275="Y",(W275*(X275-PAR!$C$15)*Y275)*C275,IF(AA275&lt;&gt;"","See Comment",IFERROR(W275*X275*Y275*C275,"Fill all blue cells"))),"Fill all blue cells")&lt;0,0,(IFERROR(IF(E275="Y",(W275*(X275-PAR!$C$15)*Y275)*C275,IF(AA275&lt;&gt;"","See Comment",IFERROR(W275*X275*Y275*C275,"Fill all blue cells"))),"Fill all blue cells")))</f>
        <v>See Comment</v>
      </c>
      <c r="AA275"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5" s="116" t="str">
        <f t="shared" si="85"/>
        <v/>
      </c>
      <c r="AC275" s="20" t="str">
        <f>IF(AND(E275="Y",D275&lt;PAR!C276),"Non bus miles are less than the minumum of 10 (see column D)",IF(AND(E275="Y",F275&lt;&gt;""),"Non Bus Miles",""))</f>
        <v/>
      </c>
      <c r="AD275" s="20" t="str">
        <f t="shared" si="86"/>
        <v/>
      </c>
      <c r="AE275" s="20" t="str">
        <f t="shared" si="79"/>
        <v>Fill Rated Capacity (see column J),</v>
      </c>
      <c r="AF275" s="20" t="str">
        <f t="shared" si="80"/>
        <v/>
      </c>
      <c r="AG275" s="20" t="str">
        <f t="shared" si="81"/>
        <v>Fill reimbursement % for this LE (see column C)</v>
      </c>
      <c r="AH275" s="20" t="str">
        <f t="shared" si="87"/>
        <v>This route has no eligible riders (see columns L:O)</v>
      </c>
      <c r="AI275" s="20" t="str">
        <f t="shared" si="82"/>
        <v>Fill miles per day (see column D)</v>
      </c>
      <c r="AJ275" s="20" t="str">
        <f t="shared" si="88"/>
        <v>Fill number of operating days (see column F)</v>
      </c>
      <c r="AK275" s="20" t="str">
        <f t="shared" si="89"/>
        <v>Fill Non-Bus Miles with Y or N (See column E)</v>
      </c>
      <c r="AL275" s="98" t="s">
        <v>422</v>
      </c>
      <c r="AM275" s="20" t="str">
        <f t="shared" si="90"/>
        <v/>
      </c>
    </row>
    <row r="276" spans="1:39" x14ac:dyDescent="0.75">
      <c r="A276" s="1" t="s">
        <v>361</v>
      </c>
      <c r="B276" s="130"/>
      <c r="C276" s="33"/>
      <c r="D276" s="41"/>
      <c r="E276" s="48"/>
      <c r="F276" s="45"/>
      <c r="G276" s="32"/>
      <c r="H276" s="16" t="s">
        <v>50</v>
      </c>
      <c r="I276" s="126"/>
      <c r="J276" s="32"/>
      <c r="K276" s="16" t="str">
        <f t="shared" si="74"/>
        <v/>
      </c>
      <c r="L276" s="37"/>
      <c r="M276" s="37"/>
      <c r="N276" s="37"/>
      <c r="O276" s="37"/>
      <c r="P276" s="16" t="str">
        <f t="shared" si="83"/>
        <v/>
      </c>
      <c r="Q276" s="37"/>
      <c r="R276" s="37"/>
      <c r="S276" s="37"/>
      <c r="T276" s="37"/>
      <c r="U276" s="16">
        <f t="shared" si="75"/>
        <v>0</v>
      </c>
      <c r="V276" s="16" t="str">
        <f t="shared" si="76"/>
        <v/>
      </c>
      <c r="W276" s="16" t="str">
        <f>IF(E276="Y",PAR!$C$12,IF(J276="","",IF(J276&lt;11,PAR!$C$6,IF(J276&lt;50,PAR!$C$7,IF(J276&lt;60,PAR!$C$8,IF(J276&lt;70,PAR!$C$9,IF(J276&lt;80,PAR!$C$10,IF(J276&gt;79,PAR!$C$11,0))))))))</f>
        <v/>
      </c>
      <c r="X276" s="16" t="str">
        <f t="shared" si="77"/>
        <v/>
      </c>
      <c r="Y276" s="22" t="str">
        <f t="shared" si="78"/>
        <v/>
      </c>
      <c r="Z276" s="100" t="str">
        <f>IF(IFERROR(IF(E276="Y",(W276*(X276-PAR!$C$15)*Y276)*C276,IF(AA276&lt;&gt;"","See Comment",IFERROR(W276*X276*Y276*C276,"Fill all blue cells"))),"Fill all blue cells")&lt;0,0,(IFERROR(IF(E276="Y",(W276*(X276-PAR!$C$15)*Y276)*C276,IF(AA276&lt;&gt;"","See Comment",IFERROR(W276*X276*Y276*C276,"Fill all blue cells"))),"Fill all blue cells")))</f>
        <v>See Comment</v>
      </c>
      <c r="AA276"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6" s="116" t="str">
        <f t="shared" si="85"/>
        <v/>
      </c>
      <c r="AC276" s="20" t="str">
        <f>IF(AND(E276="Y",D276&lt;PAR!C277),"Non bus miles are less than the minumum of 10 (see column D)",IF(AND(E276="Y",F276&lt;&gt;""),"Non Bus Miles",""))</f>
        <v/>
      </c>
      <c r="AD276" s="20" t="str">
        <f t="shared" si="86"/>
        <v/>
      </c>
      <c r="AE276" s="20" t="str">
        <f t="shared" si="79"/>
        <v>Fill Rated Capacity (see column J),</v>
      </c>
      <c r="AF276" s="20" t="str">
        <f t="shared" si="80"/>
        <v/>
      </c>
      <c r="AG276" s="20" t="str">
        <f t="shared" si="81"/>
        <v>Fill reimbursement % for this LE (see column C)</v>
      </c>
      <c r="AH276" s="20" t="str">
        <f t="shared" si="87"/>
        <v>This route has no eligible riders (see columns L:O)</v>
      </c>
      <c r="AI276" s="20" t="str">
        <f t="shared" si="82"/>
        <v>Fill miles per day (see column D)</v>
      </c>
      <c r="AJ276" s="20" t="str">
        <f t="shared" si="88"/>
        <v>Fill number of operating days (see column F)</v>
      </c>
      <c r="AK276" s="20" t="str">
        <f t="shared" si="89"/>
        <v>Fill Non-Bus Miles with Y or N (See column E)</v>
      </c>
      <c r="AL276" s="98" t="s">
        <v>422</v>
      </c>
      <c r="AM276" s="20" t="str">
        <f t="shared" si="90"/>
        <v/>
      </c>
    </row>
    <row r="277" spans="1:39" x14ac:dyDescent="0.75">
      <c r="A277" s="1" t="s">
        <v>362</v>
      </c>
      <c r="B277" s="130"/>
      <c r="C277" s="36"/>
      <c r="D277" s="42"/>
      <c r="E277" s="47"/>
      <c r="F277" s="44"/>
      <c r="G277" s="35"/>
      <c r="H277" s="18" t="s">
        <v>50</v>
      </c>
      <c r="I277" s="125"/>
      <c r="J277" s="35"/>
      <c r="K277" s="18" t="str">
        <f t="shared" si="74"/>
        <v/>
      </c>
      <c r="L277" s="38"/>
      <c r="M277" s="38"/>
      <c r="N277" s="38"/>
      <c r="O277" s="38"/>
      <c r="P277" s="18" t="str">
        <f t="shared" si="83"/>
        <v/>
      </c>
      <c r="Q277" s="38"/>
      <c r="R277" s="38"/>
      <c r="S277" s="38"/>
      <c r="T277" s="38"/>
      <c r="U277" s="18">
        <f t="shared" si="75"/>
        <v>0</v>
      </c>
      <c r="V277" s="18" t="str">
        <f t="shared" si="76"/>
        <v/>
      </c>
      <c r="W277" s="18" t="str">
        <f>IF(E277="Y",PAR!$C$12,IF(J277="","",IF(J277&lt;11,PAR!$C$6,IF(J277&lt;50,PAR!$C$7,IF(J277&lt;60,PAR!$C$8,IF(J277&lt;70,PAR!$C$9,IF(J277&lt;80,PAR!$C$10,IF(J277&gt;79,PAR!$C$11,0))))))))</f>
        <v/>
      </c>
      <c r="X277" s="18" t="str">
        <f t="shared" si="77"/>
        <v/>
      </c>
      <c r="Y277" s="21" t="str">
        <f t="shared" si="78"/>
        <v/>
      </c>
      <c r="Z277" s="100" t="str">
        <f>IF(IFERROR(IF(E277="Y",(W277*(X277-PAR!$C$15)*Y277)*C277,IF(AA277&lt;&gt;"","See Comment",IFERROR(W277*X277*Y277*C277,"Fill all blue cells"))),"Fill all blue cells")&lt;0,0,(IFERROR(IF(E277="Y",(W277*(X277-PAR!$C$15)*Y277)*C277,IF(AA277&lt;&gt;"","See Comment",IFERROR(W277*X277*Y277*C277,"Fill all blue cells"))),"Fill all blue cells")))</f>
        <v>See Comment</v>
      </c>
      <c r="AA277"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7" s="116" t="str">
        <f t="shared" si="85"/>
        <v/>
      </c>
      <c r="AC277" s="20" t="str">
        <f>IF(AND(E277="Y",D277&lt;PAR!C278),"Non bus miles are less than the minumum of 10 (see column D)",IF(AND(E277="Y",F277&lt;&gt;""),"Non Bus Miles",""))</f>
        <v/>
      </c>
      <c r="AD277" s="20" t="str">
        <f t="shared" si="86"/>
        <v/>
      </c>
      <c r="AE277" s="20" t="str">
        <f t="shared" si="79"/>
        <v>Fill Rated Capacity (see column J),</v>
      </c>
      <c r="AF277" s="20" t="str">
        <f t="shared" si="80"/>
        <v/>
      </c>
      <c r="AG277" s="20" t="str">
        <f t="shared" si="81"/>
        <v>Fill reimbursement % for this LE (see column C)</v>
      </c>
      <c r="AH277" s="20" t="str">
        <f t="shared" si="87"/>
        <v>This route has no eligible riders (see columns L:O)</v>
      </c>
      <c r="AI277" s="20" t="str">
        <f t="shared" si="82"/>
        <v>Fill miles per day (see column D)</v>
      </c>
      <c r="AJ277" s="20" t="str">
        <f t="shared" si="88"/>
        <v>Fill number of operating days (see column F)</v>
      </c>
      <c r="AK277" s="20" t="str">
        <f t="shared" si="89"/>
        <v>Fill Non-Bus Miles with Y or N (See column E)</v>
      </c>
      <c r="AL277" s="98" t="s">
        <v>422</v>
      </c>
      <c r="AM277" s="20" t="str">
        <f t="shared" si="90"/>
        <v/>
      </c>
    </row>
    <row r="278" spans="1:39" x14ac:dyDescent="0.75">
      <c r="A278" s="1" t="s">
        <v>363</v>
      </c>
      <c r="B278" s="130"/>
      <c r="C278" s="33"/>
      <c r="D278" s="41"/>
      <c r="E278" s="48"/>
      <c r="F278" s="45"/>
      <c r="G278" s="32"/>
      <c r="H278" s="16" t="s">
        <v>50</v>
      </c>
      <c r="I278" s="126"/>
      <c r="J278" s="32"/>
      <c r="K278" s="16" t="str">
        <f t="shared" si="74"/>
        <v/>
      </c>
      <c r="L278" s="37"/>
      <c r="M278" s="37"/>
      <c r="N278" s="37"/>
      <c r="O278" s="37"/>
      <c r="P278" s="16" t="str">
        <f t="shared" si="83"/>
        <v/>
      </c>
      <c r="Q278" s="37"/>
      <c r="R278" s="37"/>
      <c r="S278" s="37"/>
      <c r="T278" s="37"/>
      <c r="U278" s="16">
        <f t="shared" si="75"/>
        <v>0</v>
      </c>
      <c r="V278" s="16" t="str">
        <f t="shared" si="76"/>
        <v/>
      </c>
      <c r="W278" s="16" t="str">
        <f>IF(E278="Y",PAR!$C$12,IF(J278="","",IF(J278&lt;11,PAR!$C$6,IF(J278&lt;50,PAR!$C$7,IF(J278&lt;60,PAR!$C$8,IF(J278&lt;70,PAR!$C$9,IF(J278&lt;80,PAR!$C$10,IF(J278&gt;79,PAR!$C$11,0))))))))</f>
        <v/>
      </c>
      <c r="X278" s="16" t="str">
        <f t="shared" si="77"/>
        <v/>
      </c>
      <c r="Y278" s="22" t="str">
        <f t="shared" si="78"/>
        <v/>
      </c>
      <c r="Z278" s="100" t="str">
        <f>IF(IFERROR(IF(E278="Y",(W278*(X278-PAR!$C$15)*Y278)*C278,IF(AA278&lt;&gt;"","See Comment",IFERROR(W278*X278*Y278*C278,"Fill all blue cells"))),"Fill all blue cells")&lt;0,0,(IFERROR(IF(E278="Y",(W278*(X278-PAR!$C$15)*Y278)*C278,IF(AA278&lt;&gt;"","See Comment",IFERROR(W278*X278*Y278*C278,"Fill all blue cells"))),"Fill all blue cells")))</f>
        <v>See Comment</v>
      </c>
      <c r="AA278"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8" s="116" t="str">
        <f t="shared" si="85"/>
        <v/>
      </c>
      <c r="AC278" s="20" t="str">
        <f>IF(AND(E278="Y",D278&lt;PAR!C279),"Non bus miles are less than the minumum of 10 (see column D)",IF(AND(E278="Y",F278&lt;&gt;""),"Non Bus Miles",""))</f>
        <v/>
      </c>
      <c r="AD278" s="20" t="str">
        <f t="shared" si="86"/>
        <v/>
      </c>
      <c r="AE278" s="20" t="str">
        <f t="shared" si="79"/>
        <v>Fill Rated Capacity (see column J),</v>
      </c>
      <c r="AF278" s="20" t="str">
        <f t="shared" si="80"/>
        <v/>
      </c>
      <c r="AG278" s="20" t="str">
        <f t="shared" si="81"/>
        <v>Fill reimbursement % for this LE (see column C)</v>
      </c>
      <c r="AH278" s="20" t="str">
        <f t="shared" si="87"/>
        <v>This route has no eligible riders (see columns L:O)</v>
      </c>
      <c r="AI278" s="20" t="str">
        <f t="shared" si="82"/>
        <v>Fill miles per day (see column D)</v>
      </c>
      <c r="AJ278" s="20" t="str">
        <f t="shared" si="88"/>
        <v>Fill number of operating days (see column F)</v>
      </c>
      <c r="AK278" s="20" t="str">
        <f t="shared" si="89"/>
        <v>Fill Non-Bus Miles with Y or N (See column E)</v>
      </c>
      <c r="AL278" s="98" t="s">
        <v>422</v>
      </c>
      <c r="AM278" s="20" t="str">
        <f t="shared" si="90"/>
        <v/>
      </c>
    </row>
    <row r="279" spans="1:39" x14ac:dyDescent="0.75">
      <c r="A279" s="1" t="s">
        <v>364</v>
      </c>
      <c r="B279" s="130"/>
      <c r="C279" s="36"/>
      <c r="D279" s="42"/>
      <c r="E279" s="47"/>
      <c r="F279" s="44"/>
      <c r="G279" s="35"/>
      <c r="H279" s="18" t="s">
        <v>50</v>
      </c>
      <c r="I279" s="125"/>
      <c r="J279" s="35"/>
      <c r="K279" s="18" t="str">
        <f t="shared" si="74"/>
        <v/>
      </c>
      <c r="L279" s="38"/>
      <c r="M279" s="38"/>
      <c r="N279" s="38"/>
      <c r="O279" s="38"/>
      <c r="P279" s="18" t="str">
        <f t="shared" si="83"/>
        <v/>
      </c>
      <c r="Q279" s="38"/>
      <c r="R279" s="38"/>
      <c r="S279" s="38"/>
      <c r="T279" s="38"/>
      <c r="U279" s="18">
        <f t="shared" si="75"/>
        <v>0</v>
      </c>
      <c r="V279" s="18" t="str">
        <f t="shared" si="76"/>
        <v/>
      </c>
      <c r="W279" s="18" t="str">
        <f>IF(E279="Y",PAR!$C$12,IF(J279="","",IF(J279&lt;11,PAR!$C$6,IF(J279&lt;50,PAR!$C$7,IF(J279&lt;60,PAR!$C$8,IF(J279&lt;70,PAR!$C$9,IF(J279&lt;80,PAR!$C$10,IF(J279&gt;79,PAR!$C$11,0))))))))</f>
        <v/>
      </c>
      <c r="X279" s="18" t="str">
        <f t="shared" si="77"/>
        <v/>
      </c>
      <c r="Y279" s="21" t="str">
        <f t="shared" si="78"/>
        <v/>
      </c>
      <c r="Z279" s="100" t="str">
        <f>IF(IFERROR(IF(E279="Y",(W279*(X279-PAR!$C$15)*Y279)*C279,IF(AA279&lt;&gt;"","See Comment",IFERROR(W279*X279*Y279*C279,"Fill all blue cells"))),"Fill all blue cells")&lt;0,0,(IFERROR(IF(E279="Y",(W279*(X279-PAR!$C$15)*Y279)*C279,IF(AA279&lt;&gt;"","See Comment",IFERROR(W279*X279*Y279*C279,"Fill all blue cells"))),"Fill all blue cells")))</f>
        <v>See Comment</v>
      </c>
      <c r="AA279"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9" s="116" t="str">
        <f t="shared" si="85"/>
        <v/>
      </c>
      <c r="AC279" s="20" t="str">
        <f>IF(AND(E279="Y",D279&lt;PAR!C280),"Non bus miles are less than the minumum of 10 (see column D)",IF(AND(E279="Y",F279&lt;&gt;""),"Non Bus Miles",""))</f>
        <v/>
      </c>
      <c r="AD279" s="20" t="str">
        <f t="shared" si="86"/>
        <v/>
      </c>
      <c r="AE279" s="20" t="str">
        <f t="shared" si="79"/>
        <v>Fill Rated Capacity (see column J),</v>
      </c>
      <c r="AF279" s="20" t="str">
        <f t="shared" si="80"/>
        <v/>
      </c>
      <c r="AG279" s="20" t="str">
        <f t="shared" si="81"/>
        <v>Fill reimbursement % for this LE (see column C)</v>
      </c>
      <c r="AH279" s="20" t="str">
        <f t="shared" si="87"/>
        <v>This route has no eligible riders (see columns L:O)</v>
      </c>
      <c r="AI279" s="20" t="str">
        <f t="shared" si="82"/>
        <v>Fill miles per day (see column D)</v>
      </c>
      <c r="AJ279" s="20" t="str">
        <f t="shared" si="88"/>
        <v>Fill number of operating days (see column F)</v>
      </c>
      <c r="AK279" s="20" t="str">
        <f t="shared" si="89"/>
        <v>Fill Non-Bus Miles with Y or N (See column E)</v>
      </c>
      <c r="AL279" s="98" t="s">
        <v>422</v>
      </c>
      <c r="AM279" s="20" t="str">
        <f t="shared" si="90"/>
        <v/>
      </c>
    </row>
    <row r="280" spans="1:39" x14ac:dyDescent="0.75">
      <c r="A280" s="1" t="s">
        <v>365</v>
      </c>
      <c r="B280" s="130"/>
      <c r="C280" s="33"/>
      <c r="D280" s="41"/>
      <c r="E280" s="48"/>
      <c r="F280" s="45"/>
      <c r="G280" s="32"/>
      <c r="H280" s="16" t="s">
        <v>50</v>
      </c>
      <c r="I280" s="126"/>
      <c r="J280" s="32"/>
      <c r="K280" s="16" t="str">
        <f t="shared" si="74"/>
        <v/>
      </c>
      <c r="L280" s="37"/>
      <c r="M280" s="37"/>
      <c r="N280" s="37"/>
      <c r="O280" s="37"/>
      <c r="P280" s="16" t="str">
        <f t="shared" si="83"/>
        <v/>
      </c>
      <c r="Q280" s="37"/>
      <c r="R280" s="37"/>
      <c r="S280" s="37"/>
      <c r="T280" s="37"/>
      <c r="U280" s="16">
        <f t="shared" si="75"/>
        <v>0</v>
      </c>
      <c r="V280" s="16" t="str">
        <f t="shared" si="76"/>
        <v/>
      </c>
      <c r="W280" s="16" t="str">
        <f>IF(E280="Y",PAR!$C$12,IF(J280="","",IF(J280&lt;11,PAR!$C$6,IF(J280&lt;50,PAR!$C$7,IF(J280&lt;60,PAR!$C$8,IF(J280&lt;70,PAR!$C$9,IF(J280&lt;80,PAR!$C$10,IF(J280&gt;79,PAR!$C$11,0))))))))</f>
        <v/>
      </c>
      <c r="X280" s="16" t="str">
        <f t="shared" si="77"/>
        <v/>
      </c>
      <c r="Y280" s="22" t="str">
        <f t="shared" si="78"/>
        <v/>
      </c>
      <c r="Z280" s="100" t="str">
        <f>IF(IFERROR(IF(E280="Y",(W280*(X280-PAR!$C$15)*Y280)*C280,IF(AA280&lt;&gt;"","See Comment",IFERROR(W280*X280*Y280*C280,"Fill all blue cells"))),"Fill all blue cells")&lt;0,0,(IFERROR(IF(E280="Y",(W280*(X280-PAR!$C$15)*Y280)*C280,IF(AA280&lt;&gt;"","See Comment",IFERROR(W280*X280*Y280*C280,"Fill all blue cells"))),"Fill all blue cells")))</f>
        <v>See Comment</v>
      </c>
      <c r="AA280"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0" s="116" t="str">
        <f t="shared" si="85"/>
        <v/>
      </c>
      <c r="AC280" s="20" t="str">
        <f>IF(AND(E280="Y",D280&lt;PAR!C281),"Non bus miles are less than the minumum of 10 (see column D)",IF(AND(E280="Y",F280&lt;&gt;""),"Non Bus Miles",""))</f>
        <v/>
      </c>
      <c r="AD280" s="20" t="str">
        <f t="shared" si="86"/>
        <v/>
      </c>
      <c r="AE280" s="20" t="str">
        <f t="shared" si="79"/>
        <v>Fill Rated Capacity (see column J),</v>
      </c>
      <c r="AF280" s="20" t="str">
        <f t="shared" si="80"/>
        <v/>
      </c>
      <c r="AG280" s="20" t="str">
        <f t="shared" si="81"/>
        <v>Fill reimbursement % for this LE (see column C)</v>
      </c>
      <c r="AH280" s="20" t="str">
        <f t="shared" si="87"/>
        <v>This route has no eligible riders (see columns L:O)</v>
      </c>
      <c r="AI280" s="20" t="str">
        <f t="shared" si="82"/>
        <v>Fill miles per day (see column D)</v>
      </c>
      <c r="AJ280" s="20" t="str">
        <f t="shared" si="88"/>
        <v>Fill number of operating days (see column F)</v>
      </c>
      <c r="AK280" s="20" t="str">
        <f t="shared" si="89"/>
        <v>Fill Non-Bus Miles with Y or N (See column E)</v>
      </c>
      <c r="AL280" s="98" t="s">
        <v>422</v>
      </c>
      <c r="AM280" s="20" t="str">
        <f t="shared" si="90"/>
        <v/>
      </c>
    </row>
    <row r="281" spans="1:39" x14ac:dyDescent="0.75">
      <c r="A281" s="1" t="s">
        <v>366</v>
      </c>
      <c r="B281" s="130"/>
      <c r="C281" s="36"/>
      <c r="D281" s="42"/>
      <c r="E281" s="47"/>
      <c r="F281" s="44"/>
      <c r="G281" s="35"/>
      <c r="H281" s="18" t="s">
        <v>50</v>
      </c>
      <c r="I281" s="125"/>
      <c r="J281" s="35"/>
      <c r="K281" s="18" t="str">
        <f t="shared" si="74"/>
        <v/>
      </c>
      <c r="L281" s="38"/>
      <c r="M281" s="38"/>
      <c r="N281" s="38"/>
      <c r="O281" s="38"/>
      <c r="P281" s="18" t="str">
        <f t="shared" si="83"/>
        <v/>
      </c>
      <c r="Q281" s="38"/>
      <c r="R281" s="38"/>
      <c r="S281" s="38"/>
      <c r="T281" s="38"/>
      <c r="U281" s="18">
        <f t="shared" si="75"/>
        <v>0</v>
      </c>
      <c r="V281" s="18" t="str">
        <f t="shared" si="76"/>
        <v/>
      </c>
      <c r="W281" s="18" t="str">
        <f>IF(E281="Y",PAR!$C$12,IF(J281="","",IF(J281&lt;11,PAR!$C$6,IF(J281&lt;50,PAR!$C$7,IF(J281&lt;60,PAR!$C$8,IF(J281&lt;70,PAR!$C$9,IF(J281&lt;80,PAR!$C$10,IF(J281&gt;79,PAR!$C$11,0))))))))</f>
        <v/>
      </c>
      <c r="X281" s="18" t="str">
        <f t="shared" si="77"/>
        <v/>
      </c>
      <c r="Y281" s="21" t="str">
        <f t="shared" si="78"/>
        <v/>
      </c>
      <c r="Z281" s="100" t="str">
        <f>IF(IFERROR(IF(E281="Y",(W281*(X281-PAR!$C$15)*Y281)*C281,IF(AA281&lt;&gt;"","See Comment",IFERROR(W281*X281*Y281*C281,"Fill all blue cells"))),"Fill all blue cells")&lt;0,0,(IFERROR(IF(E281="Y",(W281*(X281-PAR!$C$15)*Y281)*C281,IF(AA281&lt;&gt;"","See Comment",IFERROR(W281*X281*Y281*C281,"Fill all blue cells"))),"Fill all blue cells")))</f>
        <v>See Comment</v>
      </c>
      <c r="AA281"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1" s="116" t="str">
        <f t="shared" si="85"/>
        <v/>
      </c>
      <c r="AC281" s="20" t="str">
        <f>IF(AND(E281="Y",D281&lt;PAR!C282),"Non bus miles are less than the minumum of 10 (see column D)",IF(AND(E281="Y",F281&lt;&gt;""),"Non Bus Miles",""))</f>
        <v/>
      </c>
      <c r="AD281" s="20" t="str">
        <f t="shared" si="86"/>
        <v/>
      </c>
      <c r="AE281" s="20" t="str">
        <f t="shared" si="79"/>
        <v>Fill Rated Capacity (see column J),</v>
      </c>
      <c r="AF281" s="20" t="str">
        <f t="shared" si="80"/>
        <v/>
      </c>
      <c r="AG281" s="20" t="str">
        <f t="shared" si="81"/>
        <v>Fill reimbursement % for this LE (see column C)</v>
      </c>
      <c r="AH281" s="20" t="str">
        <f t="shared" si="87"/>
        <v>This route has no eligible riders (see columns L:O)</v>
      </c>
      <c r="AI281" s="20" t="str">
        <f t="shared" si="82"/>
        <v>Fill miles per day (see column D)</v>
      </c>
      <c r="AJ281" s="20" t="str">
        <f t="shared" si="88"/>
        <v>Fill number of operating days (see column F)</v>
      </c>
      <c r="AK281" s="20" t="str">
        <f t="shared" si="89"/>
        <v>Fill Non-Bus Miles with Y or N (See column E)</v>
      </c>
      <c r="AL281" s="98" t="s">
        <v>422</v>
      </c>
      <c r="AM281" s="20" t="str">
        <f t="shared" si="90"/>
        <v/>
      </c>
    </row>
    <row r="282" spans="1:39" x14ac:dyDescent="0.75">
      <c r="A282" s="1" t="s">
        <v>367</v>
      </c>
      <c r="B282" s="130"/>
      <c r="C282" s="33"/>
      <c r="D282" s="41"/>
      <c r="E282" s="48"/>
      <c r="F282" s="45"/>
      <c r="G282" s="32"/>
      <c r="H282" s="16" t="s">
        <v>50</v>
      </c>
      <c r="I282" s="126"/>
      <c r="J282" s="32"/>
      <c r="K282" s="16" t="str">
        <f t="shared" si="74"/>
        <v/>
      </c>
      <c r="L282" s="37"/>
      <c r="M282" s="37"/>
      <c r="N282" s="37"/>
      <c r="O282" s="37"/>
      <c r="P282" s="16" t="str">
        <f t="shared" si="83"/>
        <v/>
      </c>
      <c r="Q282" s="37"/>
      <c r="R282" s="37"/>
      <c r="S282" s="37"/>
      <c r="T282" s="37"/>
      <c r="U282" s="16">
        <f t="shared" si="75"/>
        <v>0</v>
      </c>
      <c r="V282" s="16" t="str">
        <f t="shared" si="76"/>
        <v/>
      </c>
      <c r="W282" s="16" t="str">
        <f>IF(E282="Y",PAR!$C$12,IF(J282="","",IF(J282&lt;11,PAR!$C$6,IF(J282&lt;50,PAR!$C$7,IF(J282&lt;60,PAR!$C$8,IF(J282&lt;70,PAR!$C$9,IF(J282&lt;80,PAR!$C$10,IF(J282&gt;79,PAR!$C$11,0))))))))</f>
        <v/>
      </c>
      <c r="X282" s="16" t="str">
        <f t="shared" si="77"/>
        <v/>
      </c>
      <c r="Y282" s="22" t="str">
        <f t="shared" si="78"/>
        <v/>
      </c>
      <c r="Z282" s="100" t="str">
        <f>IF(IFERROR(IF(E282="Y",(W282*(X282-PAR!$C$15)*Y282)*C282,IF(AA282&lt;&gt;"","See Comment",IFERROR(W282*X282*Y282*C282,"Fill all blue cells"))),"Fill all blue cells")&lt;0,0,(IFERROR(IF(E282="Y",(W282*(X282-PAR!$C$15)*Y282)*C282,IF(AA282&lt;&gt;"","See Comment",IFERROR(W282*X282*Y282*C282,"Fill all blue cells"))),"Fill all blue cells")))</f>
        <v>See Comment</v>
      </c>
      <c r="AA282"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2" s="116" t="str">
        <f t="shared" si="85"/>
        <v/>
      </c>
      <c r="AC282" s="20" t="str">
        <f>IF(AND(E282="Y",D282&lt;PAR!C283),"Non bus miles are less than the minumum of 10 (see column D)",IF(AND(E282="Y",F282&lt;&gt;""),"Non Bus Miles",""))</f>
        <v/>
      </c>
      <c r="AD282" s="20" t="str">
        <f t="shared" si="86"/>
        <v/>
      </c>
      <c r="AE282" s="20" t="str">
        <f t="shared" si="79"/>
        <v>Fill Rated Capacity (see column J),</v>
      </c>
      <c r="AF282" s="20" t="str">
        <f t="shared" si="80"/>
        <v/>
      </c>
      <c r="AG282" s="20" t="str">
        <f t="shared" si="81"/>
        <v>Fill reimbursement % for this LE (see column C)</v>
      </c>
      <c r="AH282" s="20" t="str">
        <f t="shared" si="87"/>
        <v>This route has no eligible riders (see columns L:O)</v>
      </c>
      <c r="AI282" s="20" t="str">
        <f t="shared" si="82"/>
        <v>Fill miles per day (see column D)</v>
      </c>
      <c r="AJ282" s="20" t="str">
        <f t="shared" si="88"/>
        <v>Fill number of operating days (see column F)</v>
      </c>
      <c r="AK282" s="20" t="str">
        <f t="shared" si="89"/>
        <v>Fill Non-Bus Miles with Y or N (See column E)</v>
      </c>
      <c r="AL282" s="98" t="s">
        <v>422</v>
      </c>
      <c r="AM282" s="20" t="str">
        <f t="shared" si="90"/>
        <v/>
      </c>
    </row>
    <row r="283" spans="1:39" x14ac:dyDescent="0.75">
      <c r="A283" s="1" t="s">
        <v>368</v>
      </c>
      <c r="B283" s="130"/>
      <c r="C283" s="36"/>
      <c r="D283" s="42"/>
      <c r="E283" s="47"/>
      <c r="F283" s="44"/>
      <c r="G283" s="35"/>
      <c r="H283" s="18" t="s">
        <v>50</v>
      </c>
      <c r="I283" s="125"/>
      <c r="J283" s="35"/>
      <c r="K283" s="18" t="str">
        <f t="shared" si="74"/>
        <v/>
      </c>
      <c r="L283" s="38"/>
      <c r="M283" s="38"/>
      <c r="N283" s="38"/>
      <c r="O283" s="38"/>
      <c r="P283" s="18" t="str">
        <f t="shared" si="83"/>
        <v/>
      </c>
      <c r="Q283" s="38"/>
      <c r="R283" s="38"/>
      <c r="S283" s="38"/>
      <c r="T283" s="38"/>
      <c r="U283" s="18">
        <f t="shared" si="75"/>
        <v>0</v>
      </c>
      <c r="V283" s="18" t="str">
        <f t="shared" si="76"/>
        <v/>
      </c>
      <c r="W283" s="18" t="str">
        <f>IF(E283="Y",PAR!$C$12,IF(J283="","",IF(J283&lt;11,PAR!$C$6,IF(J283&lt;50,PAR!$C$7,IF(J283&lt;60,PAR!$C$8,IF(J283&lt;70,PAR!$C$9,IF(J283&lt;80,PAR!$C$10,IF(J283&gt;79,PAR!$C$11,0))))))))</f>
        <v/>
      </c>
      <c r="X283" s="18" t="str">
        <f t="shared" si="77"/>
        <v/>
      </c>
      <c r="Y283" s="21" t="str">
        <f t="shared" si="78"/>
        <v/>
      </c>
      <c r="Z283" s="100" t="str">
        <f>IF(IFERROR(IF(E283="Y",(W283*(X283-PAR!$C$15)*Y283)*C283,IF(AA283&lt;&gt;"","See Comment",IFERROR(W283*X283*Y283*C283,"Fill all blue cells"))),"Fill all blue cells")&lt;0,0,(IFERROR(IF(E283="Y",(W283*(X283-PAR!$C$15)*Y283)*C283,IF(AA283&lt;&gt;"","See Comment",IFERROR(W283*X283*Y283*C283,"Fill all blue cells"))),"Fill all blue cells")))</f>
        <v>See Comment</v>
      </c>
      <c r="AA283"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3" s="116" t="str">
        <f t="shared" si="85"/>
        <v/>
      </c>
      <c r="AC283" s="20" t="str">
        <f>IF(AND(E283="Y",D283&lt;PAR!C284),"Non bus miles are less than the minumum of 10 (see column D)",IF(AND(E283="Y",F283&lt;&gt;""),"Non Bus Miles",""))</f>
        <v/>
      </c>
      <c r="AD283" s="20" t="str">
        <f t="shared" si="86"/>
        <v/>
      </c>
      <c r="AE283" s="20" t="str">
        <f t="shared" si="79"/>
        <v>Fill Rated Capacity (see column J),</v>
      </c>
      <c r="AF283" s="20" t="str">
        <f t="shared" si="80"/>
        <v/>
      </c>
      <c r="AG283" s="20" t="str">
        <f t="shared" si="81"/>
        <v>Fill reimbursement % for this LE (see column C)</v>
      </c>
      <c r="AH283" s="20" t="str">
        <f t="shared" si="87"/>
        <v>This route has no eligible riders (see columns L:O)</v>
      </c>
      <c r="AI283" s="20" t="str">
        <f t="shared" si="82"/>
        <v>Fill miles per day (see column D)</v>
      </c>
      <c r="AJ283" s="20" t="str">
        <f t="shared" si="88"/>
        <v>Fill number of operating days (see column F)</v>
      </c>
      <c r="AK283" s="20" t="str">
        <f t="shared" si="89"/>
        <v>Fill Non-Bus Miles with Y or N (See column E)</v>
      </c>
      <c r="AL283" s="98" t="s">
        <v>422</v>
      </c>
      <c r="AM283" s="20" t="str">
        <f t="shared" si="90"/>
        <v/>
      </c>
    </row>
    <row r="284" spans="1:39" x14ac:dyDescent="0.75">
      <c r="A284" s="1" t="s">
        <v>369</v>
      </c>
      <c r="B284" s="130"/>
      <c r="C284" s="33"/>
      <c r="D284" s="41"/>
      <c r="E284" s="48"/>
      <c r="F284" s="45"/>
      <c r="G284" s="32"/>
      <c r="H284" s="16" t="s">
        <v>50</v>
      </c>
      <c r="I284" s="126"/>
      <c r="J284" s="32"/>
      <c r="K284" s="16" t="str">
        <f t="shared" si="74"/>
        <v/>
      </c>
      <c r="L284" s="37"/>
      <c r="M284" s="37"/>
      <c r="N284" s="37"/>
      <c r="O284" s="37"/>
      <c r="P284" s="16" t="str">
        <f t="shared" si="83"/>
        <v/>
      </c>
      <c r="Q284" s="37"/>
      <c r="R284" s="37"/>
      <c r="S284" s="37"/>
      <c r="T284" s="37"/>
      <c r="U284" s="16">
        <f t="shared" si="75"/>
        <v>0</v>
      </c>
      <c r="V284" s="16" t="str">
        <f t="shared" si="76"/>
        <v/>
      </c>
      <c r="W284" s="16" t="str">
        <f>IF(E284="Y",PAR!$C$12,IF(J284="","",IF(J284&lt;11,PAR!$C$6,IF(J284&lt;50,PAR!$C$7,IF(J284&lt;60,PAR!$C$8,IF(J284&lt;70,PAR!$C$9,IF(J284&lt;80,PAR!$C$10,IF(J284&gt;79,PAR!$C$11,0))))))))</f>
        <v/>
      </c>
      <c r="X284" s="16" t="str">
        <f t="shared" si="77"/>
        <v/>
      </c>
      <c r="Y284" s="22" t="str">
        <f t="shared" si="78"/>
        <v/>
      </c>
      <c r="Z284" s="100" t="str">
        <f>IF(IFERROR(IF(E284="Y",(W284*(X284-PAR!$C$15)*Y284)*C284,IF(AA284&lt;&gt;"","See Comment",IFERROR(W284*X284*Y284*C284,"Fill all blue cells"))),"Fill all blue cells")&lt;0,0,(IFERROR(IF(E284="Y",(W284*(X284-PAR!$C$15)*Y284)*C284,IF(AA284&lt;&gt;"","See Comment",IFERROR(W284*X284*Y284*C284,"Fill all blue cells"))),"Fill all blue cells")))</f>
        <v>See Comment</v>
      </c>
      <c r="AA284"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4" s="116" t="str">
        <f t="shared" si="85"/>
        <v/>
      </c>
      <c r="AC284" s="20" t="str">
        <f>IF(AND(E284="Y",D284&lt;PAR!C285),"Non bus miles are less than the minumum of 10 (see column D)",IF(AND(E284="Y",F284&lt;&gt;""),"Non Bus Miles",""))</f>
        <v/>
      </c>
      <c r="AD284" s="20" t="str">
        <f t="shared" si="86"/>
        <v/>
      </c>
      <c r="AE284" s="20" t="str">
        <f t="shared" si="79"/>
        <v>Fill Rated Capacity (see column J),</v>
      </c>
      <c r="AF284" s="20" t="str">
        <f t="shared" si="80"/>
        <v/>
      </c>
      <c r="AG284" s="20" t="str">
        <f t="shared" si="81"/>
        <v>Fill reimbursement % for this LE (see column C)</v>
      </c>
      <c r="AH284" s="20" t="str">
        <f t="shared" si="87"/>
        <v>This route has no eligible riders (see columns L:O)</v>
      </c>
      <c r="AI284" s="20" t="str">
        <f t="shared" si="82"/>
        <v>Fill miles per day (see column D)</v>
      </c>
      <c r="AJ284" s="20" t="str">
        <f t="shared" si="88"/>
        <v>Fill number of operating days (see column F)</v>
      </c>
      <c r="AK284" s="20" t="str">
        <f t="shared" si="89"/>
        <v>Fill Non-Bus Miles with Y or N (See column E)</v>
      </c>
      <c r="AL284" s="98" t="s">
        <v>422</v>
      </c>
      <c r="AM284" s="20" t="str">
        <f t="shared" si="90"/>
        <v/>
      </c>
    </row>
    <row r="285" spans="1:39" x14ac:dyDescent="0.75">
      <c r="A285" s="1" t="s">
        <v>370</v>
      </c>
      <c r="B285" s="130"/>
      <c r="C285" s="36"/>
      <c r="D285" s="42"/>
      <c r="E285" s="47"/>
      <c r="F285" s="44"/>
      <c r="G285" s="35"/>
      <c r="H285" s="18" t="s">
        <v>50</v>
      </c>
      <c r="I285" s="125"/>
      <c r="J285" s="35"/>
      <c r="K285" s="18" t="str">
        <f t="shared" si="74"/>
        <v/>
      </c>
      <c r="L285" s="38"/>
      <c r="M285" s="38"/>
      <c r="N285" s="38"/>
      <c r="O285" s="38"/>
      <c r="P285" s="18" t="str">
        <f t="shared" si="83"/>
        <v/>
      </c>
      <c r="Q285" s="38"/>
      <c r="R285" s="38"/>
      <c r="S285" s="38"/>
      <c r="T285" s="38"/>
      <c r="U285" s="18">
        <f t="shared" si="75"/>
        <v>0</v>
      </c>
      <c r="V285" s="18" t="str">
        <f t="shared" si="76"/>
        <v/>
      </c>
      <c r="W285" s="18" t="str">
        <f>IF(E285="Y",PAR!$C$12,IF(J285="","",IF(J285&lt;11,PAR!$C$6,IF(J285&lt;50,PAR!$C$7,IF(J285&lt;60,PAR!$C$8,IF(J285&lt;70,PAR!$C$9,IF(J285&lt;80,PAR!$C$10,IF(J285&gt;79,PAR!$C$11,0))))))))</f>
        <v/>
      </c>
      <c r="X285" s="18" t="str">
        <f t="shared" si="77"/>
        <v/>
      </c>
      <c r="Y285" s="21" t="str">
        <f t="shared" si="78"/>
        <v/>
      </c>
      <c r="Z285" s="100" t="str">
        <f>IF(IFERROR(IF(E285="Y",(W285*(X285-PAR!$C$15)*Y285)*C285,IF(AA285&lt;&gt;"","See Comment",IFERROR(W285*X285*Y285*C285,"Fill all blue cells"))),"Fill all blue cells")&lt;0,0,(IFERROR(IF(E285="Y",(W285*(X285-PAR!$C$15)*Y285)*C285,IF(AA285&lt;&gt;"","See Comment",IFERROR(W285*X285*Y285*C285,"Fill all blue cells"))),"Fill all blue cells")))</f>
        <v>See Comment</v>
      </c>
      <c r="AA285"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5" s="116" t="str">
        <f t="shared" si="85"/>
        <v/>
      </c>
      <c r="AC285" s="20" t="str">
        <f>IF(AND(E285="Y",D285&lt;PAR!C286),"Non bus miles are less than the minumum of 10 (see column D)",IF(AND(E285="Y",F285&lt;&gt;""),"Non Bus Miles",""))</f>
        <v/>
      </c>
      <c r="AD285" s="20" t="str">
        <f t="shared" si="86"/>
        <v/>
      </c>
      <c r="AE285" s="20" t="str">
        <f t="shared" si="79"/>
        <v>Fill Rated Capacity (see column J),</v>
      </c>
      <c r="AF285" s="20" t="str">
        <f t="shared" si="80"/>
        <v/>
      </c>
      <c r="AG285" s="20" t="str">
        <f t="shared" si="81"/>
        <v>Fill reimbursement % for this LE (see column C)</v>
      </c>
      <c r="AH285" s="20" t="str">
        <f t="shared" si="87"/>
        <v>This route has no eligible riders (see columns L:O)</v>
      </c>
      <c r="AI285" s="20" t="str">
        <f t="shared" si="82"/>
        <v>Fill miles per day (see column D)</v>
      </c>
      <c r="AJ285" s="20" t="str">
        <f t="shared" si="88"/>
        <v>Fill number of operating days (see column F)</v>
      </c>
      <c r="AK285" s="20" t="str">
        <f t="shared" si="89"/>
        <v>Fill Non-Bus Miles with Y or N (See column E)</v>
      </c>
      <c r="AL285" s="98" t="s">
        <v>422</v>
      </c>
      <c r="AM285" s="20" t="str">
        <f t="shared" si="90"/>
        <v/>
      </c>
    </row>
    <row r="286" spans="1:39" x14ac:dyDescent="0.75">
      <c r="A286" s="1" t="s">
        <v>371</v>
      </c>
      <c r="B286" s="130"/>
      <c r="C286" s="33"/>
      <c r="D286" s="41"/>
      <c r="E286" s="48"/>
      <c r="F286" s="45"/>
      <c r="G286" s="32"/>
      <c r="H286" s="16" t="s">
        <v>50</v>
      </c>
      <c r="I286" s="126"/>
      <c r="J286" s="32"/>
      <c r="K286" s="16" t="str">
        <f t="shared" si="74"/>
        <v/>
      </c>
      <c r="L286" s="37"/>
      <c r="M286" s="37"/>
      <c r="N286" s="37"/>
      <c r="O286" s="37"/>
      <c r="P286" s="16" t="str">
        <f t="shared" si="83"/>
        <v/>
      </c>
      <c r="Q286" s="37"/>
      <c r="R286" s="37"/>
      <c r="S286" s="37"/>
      <c r="T286" s="37"/>
      <c r="U286" s="16">
        <f t="shared" si="75"/>
        <v>0</v>
      </c>
      <c r="V286" s="16" t="str">
        <f t="shared" si="76"/>
        <v/>
      </c>
      <c r="W286" s="16" t="str">
        <f>IF(E286="Y",PAR!$C$12,IF(J286="","",IF(J286&lt;11,PAR!$C$6,IF(J286&lt;50,PAR!$C$7,IF(J286&lt;60,PAR!$C$8,IF(J286&lt;70,PAR!$C$9,IF(J286&lt;80,PAR!$C$10,IF(J286&gt;79,PAR!$C$11,0))))))))</f>
        <v/>
      </c>
      <c r="X286" s="16" t="str">
        <f t="shared" si="77"/>
        <v/>
      </c>
      <c r="Y286" s="22" t="str">
        <f t="shared" si="78"/>
        <v/>
      </c>
      <c r="Z286" s="100" t="str">
        <f>IF(IFERROR(IF(E286="Y",(W286*(X286-PAR!$C$15)*Y286)*C286,IF(AA286&lt;&gt;"","See Comment",IFERROR(W286*X286*Y286*C286,"Fill all blue cells"))),"Fill all blue cells")&lt;0,0,(IFERROR(IF(E286="Y",(W286*(X286-PAR!$C$15)*Y286)*C286,IF(AA286&lt;&gt;"","See Comment",IFERROR(W286*X286*Y286*C286,"Fill all blue cells"))),"Fill all blue cells")))</f>
        <v>See Comment</v>
      </c>
      <c r="AA286"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6" s="116" t="str">
        <f t="shared" si="85"/>
        <v/>
      </c>
      <c r="AC286" s="20" t="str">
        <f>IF(AND(E286="Y",D286&lt;PAR!C287),"Non bus miles are less than the minumum of 10 (see column D)",IF(AND(E286="Y",F286&lt;&gt;""),"Non Bus Miles",""))</f>
        <v/>
      </c>
      <c r="AD286" s="20" t="str">
        <f t="shared" si="86"/>
        <v/>
      </c>
      <c r="AE286" s="20" t="str">
        <f t="shared" si="79"/>
        <v>Fill Rated Capacity (see column J),</v>
      </c>
      <c r="AF286" s="20" t="str">
        <f t="shared" si="80"/>
        <v/>
      </c>
      <c r="AG286" s="20" t="str">
        <f t="shared" si="81"/>
        <v>Fill reimbursement % for this LE (see column C)</v>
      </c>
      <c r="AH286" s="20" t="str">
        <f t="shared" si="87"/>
        <v>This route has no eligible riders (see columns L:O)</v>
      </c>
      <c r="AI286" s="20" t="str">
        <f t="shared" si="82"/>
        <v>Fill miles per day (see column D)</v>
      </c>
      <c r="AJ286" s="20" t="str">
        <f t="shared" si="88"/>
        <v>Fill number of operating days (see column F)</v>
      </c>
      <c r="AK286" s="20" t="str">
        <f t="shared" si="89"/>
        <v>Fill Non-Bus Miles with Y or N (See column E)</v>
      </c>
      <c r="AL286" s="98" t="s">
        <v>422</v>
      </c>
      <c r="AM286" s="20" t="str">
        <f t="shared" si="90"/>
        <v/>
      </c>
    </row>
    <row r="287" spans="1:39" x14ac:dyDescent="0.75">
      <c r="A287" s="1" t="s">
        <v>372</v>
      </c>
      <c r="B287" s="130"/>
      <c r="C287" s="36"/>
      <c r="D287" s="42"/>
      <c r="E287" s="47"/>
      <c r="F287" s="44"/>
      <c r="G287" s="35"/>
      <c r="H287" s="18" t="s">
        <v>50</v>
      </c>
      <c r="I287" s="125"/>
      <c r="J287" s="35"/>
      <c r="K287" s="18" t="str">
        <f t="shared" si="74"/>
        <v/>
      </c>
      <c r="L287" s="38"/>
      <c r="M287" s="38"/>
      <c r="N287" s="38"/>
      <c r="O287" s="38"/>
      <c r="P287" s="18" t="str">
        <f t="shared" si="83"/>
        <v/>
      </c>
      <c r="Q287" s="38"/>
      <c r="R287" s="38"/>
      <c r="S287" s="38"/>
      <c r="T287" s="38"/>
      <c r="U287" s="18">
        <f t="shared" si="75"/>
        <v>0</v>
      </c>
      <c r="V287" s="18" t="str">
        <f t="shared" si="76"/>
        <v/>
      </c>
      <c r="W287" s="18" t="str">
        <f>IF(E287="Y",PAR!$C$12,IF(J287="","",IF(J287&lt;11,PAR!$C$6,IF(J287&lt;50,PAR!$C$7,IF(J287&lt;60,PAR!$C$8,IF(J287&lt;70,PAR!$C$9,IF(J287&lt;80,PAR!$C$10,IF(J287&gt;79,PAR!$C$11,0))))))))</f>
        <v/>
      </c>
      <c r="X287" s="18" t="str">
        <f t="shared" si="77"/>
        <v/>
      </c>
      <c r="Y287" s="21" t="str">
        <f t="shared" si="78"/>
        <v/>
      </c>
      <c r="Z287" s="100" t="str">
        <f>IF(IFERROR(IF(E287="Y",(W287*(X287-PAR!$C$15)*Y287)*C287,IF(AA287&lt;&gt;"","See Comment",IFERROR(W287*X287*Y287*C287,"Fill all blue cells"))),"Fill all blue cells")&lt;0,0,(IFERROR(IF(E287="Y",(W287*(X287-PAR!$C$15)*Y287)*C287,IF(AA287&lt;&gt;"","See Comment",IFERROR(W287*X287*Y287*C287,"Fill all blue cells"))),"Fill all blue cells")))</f>
        <v>See Comment</v>
      </c>
      <c r="AA287"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7" s="116" t="str">
        <f t="shared" si="85"/>
        <v/>
      </c>
      <c r="AC287" s="20" t="str">
        <f>IF(AND(E287="Y",D287&lt;PAR!C288),"Non bus miles are less than the minumum of 10 (see column D)",IF(AND(E287="Y",F287&lt;&gt;""),"Non Bus Miles",""))</f>
        <v/>
      </c>
      <c r="AD287" s="20" t="str">
        <f t="shared" si="86"/>
        <v/>
      </c>
      <c r="AE287" s="20" t="str">
        <f t="shared" si="79"/>
        <v>Fill Rated Capacity (see column J),</v>
      </c>
      <c r="AF287" s="20" t="str">
        <f t="shared" si="80"/>
        <v/>
      </c>
      <c r="AG287" s="20" t="str">
        <f t="shared" si="81"/>
        <v>Fill reimbursement % for this LE (see column C)</v>
      </c>
      <c r="AH287" s="20" t="str">
        <f t="shared" si="87"/>
        <v>This route has no eligible riders (see columns L:O)</v>
      </c>
      <c r="AI287" s="20" t="str">
        <f t="shared" si="82"/>
        <v>Fill miles per day (see column D)</v>
      </c>
      <c r="AJ287" s="20" t="str">
        <f t="shared" si="88"/>
        <v>Fill number of operating days (see column F)</v>
      </c>
      <c r="AK287" s="20" t="str">
        <f t="shared" si="89"/>
        <v>Fill Non-Bus Miles with Y or N (See column E)</v>
      </c>
      <c r="AL287" s="98" t="s">
        <v>422</v>
      </c>
      <c r="AM287" s="20" t="str">
        <f t="shared" si="90"/>
        <v/>
      </c>
    </row>
    <row r="288" spans="1:39" x14ac:dyDescent="0.75">
      <c r="A288" s="1" t="s">
        <v>373</v>
      </c>
      <c r="B288" s="130"/>
      <c r="C288" s="33"/>
      <c r="D288" s="41"/>
      <c r="E288" s="48"/>
      <c r="F288" s="45"/>
      <c r="G288" s="32"/>
      <c r="H288" s="16" t="s">
        <v>50</v>
      </c>
      <c r="I288" s="126"/>
      <c r="J288" s="32"/>
      <c r="K288" s="16" t="str">
        <f t="shared" si="74"/>
        <v/>
      </c>
      <c r="L288" s="37"/>
      <c r="M288" s="37"/>
      <c r="N288" s="37"/>
      <c r="O288" s="37"/>
      <c r="P288" s="16" t="str">
        <f t="shared" si="83"/>
        <v/>
      </c>
      <c r="Q288" s="37"/>
      <c r="R288" s="37"/>
      <c r="S288" s="37"/>
      <c r="T288" s="37"/>
      <c r="U288" s="16">
        <f t="shared" si="75"/>
        <v>0</v>
      </c>
      <c r="V288" s="16" t="str">
        <f t="shared" si="76"/>
        <v/>
      </c>
      <c r="W288" s="16" t="str">
        <f>IF(E288="Y",PAR!$C$12,IF(J288="","",IF(J288&lt;11,PAR!$C$6,IF(J288&lt;50,PAR!$C$7,IF(J288&lt;60,PAR!$C$8,IF(J288&lt;70,PAR!$C$9,IF(J288&lt;80,PAR!$C$10,IF(J288&gt;79,PAR!$C$11,0))))))))</f>
        <v/>
      </c>
      <c r="X288" s="16" t="str">
        <f t="shared" si="77"/>
        <v/>
      </c>
      <c r="Y288" s="22" t="str">
        <f t="shared" si="78"/>
        <v/>
      </c>
      <c r="Z288" s="100" t="str">
        <f>IF(IFERROR(IF(E288="Y",(W288*(X288-PAR!$C$15)*Y288)*C288,IF(AA288&lt;&gt;"","See Comment",IFERROR(W288*X288*Y288*C288,"Fill all blue cells"))),"Fill all blue cells")&lt;0,0,(IFERROR(IF(E288="Y",(W288*(X288-PAR!$C$15)*Y288)*C288,IF(AA288&lt;&gt;"","See Comment",IFERROR(W288*X288*Y288*C288,"Fill all blue cells"))),"Fill all blue cells")))</f>
        <v>See Comment</v>
      </c>
      <c r="AA288"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8" s="116" t="str">
        <f t="shared" si="85"/>
        <v/>
      </c>
      <c r="AC288" s="20" t="str">
        <f>IF(AND(E288="Y",D288&lt;PAR!C289),"Non bus miles are less than the minumum of 10 (see column D)",IF(AND(E288="Y",F288&lt;&gt;""),"Non Bus Miles",""))</f>
        <v/>
      </c>
      <c r="AD288" s="20" t="str">
        <f t="shared" si="86"/>
        <v/>
      </c>
      <c r="AE288" s="20" t="str">
        <f t="shared" si="79"/>
        <v>Fill Rated Capacity (see column J),</v>
      </c>
      <c r="AF288" s="20" t="str">
        <f t="shared" si="80"/>
        <v/>
      </c>
      <c r="AG288" s="20" t="str">
        <f t="shared" si="81"/>
        <v>Fill reimbursement % for this LE (see column C)</v>
      </c>
      <c r="AH288" s="20" t="str">
        <f t="shared" si="87"/>
        <v>This route has no eligible riders (see columns L:O)</v>
      </c>
      <c r="AI288" s="20" t="str">
        <f t="shared" si="82"/>
        <v>Fill miles per day (see column D)</v>
      </c>
      <c r="AJ288" s="20" t="str">
        <f t="shared" si="88"/>
        <v>Fill number of operating days (see column F)</v>
      </c>
      <c r="AK288" s="20" t="str">
        <f t="shared" si="89"/>
        <v>Fill Non-Bus Miles with Y or N (See column E)</v>
      </c>
      <c r="AL288" s="98" t="s">
        <v>422</v>
      </c>
      <c r="AM288" s="20" t="str">
        <f t="shared" si="90"/>
        <v/>
      </c>
    </row>
    <row r="289" spans="1:39" x14ac:dyDescent="0.75">
      <c r="A289" s="1" t="s">
        <v>374</v>
      </c>
      <c r="B289" s="130"/>
      <c r="C289" s="36"/>
      <c r="D289" s="42"/>
      <c r="E289" s="47"/>
      <c r="F289" s="44"/>
      <c r="G289" s="35"/>
      <c r="H289" s="18" t="s">
        <v>50</v>
      </c>
      <c r="I289" s="125"/>
      <c r="J289" s="35"/>
      <c r="K289" s="18" t="str">
        <f t="shared" si="74"/>
        <v/>
      </c>
      <c r="L289" s="38"/>
      <c r="M289" s="38"/>
      <c r="N289" s="38"/>
      <c r="O289" s="38"/>
      <c r="P289" s="18" t="str">
        <f t="shared" si="83"/>
        <v/>
      </c>
      <c r="Q289" s="38"/>
      <c r="R289" s="38"/>
      <c r="S289" s="38"/>
      <c r="T289" s="38"/>
      <c r="U289" s="18">
        <f t="shared" si="75"/>
        <v>0</v>
      </c>
      <c r="V289" s="18" t="str">
        <f t="shared" si="76"/>
        <v/>
      </c>
      <c r="W289" s="18" t="str">
        <f>IF(E289="Y",PAR!$C$12,IF(J289="","",IF(J289&lt;11,PAR!$C$6,IF(J289&lt;50,PAR!$C$7,IF(J289&lt;60,PAR!$C$8,IF(J289&lt;70,PAR!$C$9,IF(J289&lt;80,PAR!$C$10,IF(J289&gt;79,PAR!$C$11,0))))))))</f>
        <v/>
      </c>
      <c r="X289" s="18" t="str">
        <f t="shared" si="77"/>
        <v/>
      </c>
      <c r="Y289" s="21" t="str">
        <f t="shared" si="78"/>
        <v/>
      </c>
      <c r="Z289" s="100" t="str">
        <f>IF(IFERROR(IF(E289="Y",(W289*(X289-PAR!$C$15)*Y289)*C289,IF(AA289&lt;&gt;"","See Comment",IFERROR(W289*X289*Y289*C289,"Fill all blue cells"))),"Fill all blue cells")&lt;0,0,(IFERROR(IF(E289="Y",(W289*(X289-PAR!$C$15)*Y289)*C289,IF(AA289&lt;&gt;"","See Comment",IFERROR(W289*X289*Y289*C289,"Fill all blue cells"))),"Fill all blue cells")))</f>
        <v>See Comment</v>
      </c>
      <c r="AA289"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9" s="116" t="str">
        <f t="shared" si="85"/>
        <v/>
      </c>
      <c r="AC289" s="20" t="str">
        <f>IF(AND(E289="Y",D289&lt;PAR!C290),"Non bus miles are less than the minumum of 10 (see column D)",IF(AND(E289="Y",F289&lt;&gt;""),"Non Bus Miles",""))</f>
        <v/>
      </c>
      <c r="AD289" s="20" t="str">
        <f t="shared" si="86"/>
        <v/>
      </c>
      <c r="AE289" s="20" t="str">
        <f t="shared" si="79"/>
        <v>Fill Rated Capacity (see column J),</v>
      </c>
      <c r="AF289" s="20" t="str">
        <f t="shared" si="80"/>
        <v/>
      </c>
      <c r="AG289" s="20" t="str">
        <f t="shared" si="81"/>
        <v>Fill reimbursement % for this LE (see column C)</v>
      </c>
      <c r="AH289" s="20" t="str">
        <f t="shared" si="87"/>
        <v>This route has no eligible riders (see columns L:O)</v>
      </c>
      <c r="AI289" s="20" t="str">
        <f t="shared" si="82"/>
        <v>Fill miles per day (see column D)</v>
      </c>
      <c r="AJ289" s="20" t="str">
        <f t="shared" si="88"/>
        <v>Fill number of operating days (see column F)</v>
      </c>
      <c r="AK289" s="20" t="str">
        <f t="shared" si="89"/>
        <v>Fill Non-Bus Miles with Y or N (See column E)</v>
      </c>
      <c r="AL289" s="98" t="s">
        <v>422</v>
      </c>
      <c r="AM289" s="20" t="str">
        <f t="shared" si="90"/>
        <v/>
      </c>
    </row>
    <row r="290" spans="1:39" x14ac:dyDescent="0.75">
      <c r="A290" s="1" t="s">
        <v>375</v>
      </c>
      <c r="B290" s="130"/>
      <c r="C290" s="33"/>
      <c r="D290" s="41"/>
      <c r="E290" s="48"/>
      <c r="F290" s="45"/>
      <c r="G290" s="32"/>
      <c r="H290" s="16" t="s">
        <v>50</v>
      </c>
      <c r="I290" s="126"/>
      <c r="J290" s="32"/>
      <c r="K290" s="16" t="str">
        <f t="shared" si="74"/>
        <v/>
      </c>
      <c r="L290" s="37"/>
      <c r="M290" s="37"/>
      <c r="N290" s="37"/>
      <c r="O290" s="37"/>
      <c r="P290" s="16" t="str">
        <f t="shared" si="83"/>
        <v/>
      </c>
      <c r="Q290" s="37"/>
      <c r="R290" s="37"/>
      <c r="S290" s="37"/>
      <c r="T290" s="37"/>
      <c r="U290" s="16">
        <f t="shared" si="75"/>
        <v>0</v>
      </c>
      <c r="V290" s="16" t="str">
        <f t="shared" si="76"/>
        <v/>
      </c>
      <c r="W290" s="16" t="str">
        <f>IF(E290="Y",PAR!$C$12,IF(J290="","",IF(J290&lt;11,PAR!$C$6,IF(J290&lt;50,PAR!$C$7,IF(J290&lt;60,PAR!$C$8,IF(J290&lt;70,PAR!$C$9,IF(J290&lt;80,PAR!$C$10,IF(J290&gt;79,PAR!$C$11,0))))))))</f>
        <v/>
      </c>
      <c r="X290" s="16" t="str">
        <f t="shared" si="77"/>
        <v/>
      </c>
      <c r="Y290" s="22" t="str">
        <f t="shared" si="78"/>
        <v/>
      </c>
      <c r="Z290" s="100" t="str">
        <f>IF(IFERROR(IF(E290="Y",(W290*(X290-PAR!$C$15)*Y290)*C290,IF(AA290&lt;&gt;"","See Comment",IFERROR(W290*X290*Y290*C290,"Fill all blue cells"))),"Fill all blue cells")&lt;0,0,(IFERROR(IF(E290="Y",(W290*(X290-PAR!$C$15)*Y290)*C290,IF(AA290&lt;&gt;"","See Comment",IFERROR(W290*X290*Y290*C290,"Fill all blue cells"))),"Fill all blue cells")))</f>
        <v>See Comment</v>
      </c>
      <c r="AA290"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0" s="116" t="str">
        <f t="shared" si="85"/>
        <v/>
      </c>
      <c r="AC290" s="20" t="str">
        <f>IF(AND(E290="Y",D290&lt;PAR!C291),"Non bus miles are less than the minumum of 10 (see column D)",IF(AND(E290="Y",F290&lt;&gt;""),"Non Bus Miles",""))</f>
        <v/>
      </c>
      <c r="AD290" s="20" t="str">
        <f t="shared" si="86"/>
        <v/>
      </c>
      <c r="AE290" s="20" t="str">
        <f t="shared" si="79"/>
        <v>Fill Rated Capacity (see column J),</v>
      </c>
      <c r="AF290" s="20" t="str">
        <f t="shared" si="80"/>
        <v/>
      </c>
      <c r="AG290" s="20" t="str">
        <f t="shared" si="81"/>
        <v>Fill reimbursement % for this LE (see column C)</v>
      </c>
      <c r="AH290" s="20" t="str">
        <f t="shared" si="87"/>
        <v>This route has no eligible riders (see columns L:O)</v>
      </c>
      <c r="AI290" s="20" t="str">
        <f t="shared" si="82"/>
        <v>Fill miles per day (see column D)</v>
      </c>
      <c r="AJ290" s="20" t="str">
        <f t="shared" si="88"/>
        <v>Fill number of operating days (see column F)</v>
      </c>
      <c r="AK290" s="20" t="str">
        <f t="shared" si="89"/>
        <v>Fill Non-Bus Miles with Y or N (See column E)</v>
      </c>
      <c r="AL290" s="98" t="s">
        <v>422</v>
      </c>
      <c r="AM290" s="20" t="str">
        <f t="shared" si="90"/>
        <v/>
      </c>
    </row>
    <row r="291" spans="1:39" x14ac:dyDescent="0.75">
      <c r="A291" s="1" t="s">
        <v>376</v>
      </c>
      <c r="B291" s="130"/>
      <c r="C291" s="36"/>
      <c r="D291" s="42"/>
      <c r="E291" s="47"/>
      <c r="F291" s="44"/>
      <c r="G291" s="35"/>
      <c r="H291" s="18" t="s">
        <v>50</v>
      </c>
      <c r="I291" s="125"/>
      <c r="J291" s="35"/>
      <c r="K291" s="18" t="str">
        <f t="shared" si="74"/>
        <v/>
      </c>
      <c r="L291" s="38"/>
      <c r="M291" s="38"/>
      <c r="N291" s="38"/>
      <c r="O291" s="38"/>
      <c r="P291" s="18" t="str">
        <f t="shared" si="83"/>
        <v/>
      </c>
      <c r="Q291" s="38"/>
      <c r="R291" s="38"/>
      <c r="S291" s="38"/>
      <c r="T291" s="38"/>
      <c r="U291" s="18">
        <f t="shared" si="75"/>
        <v>0</v>
      </c>
      <c r="V291" s="18" t="str">
        <f t="shared" si="76"/>
        <v/>
      </c>
      <c r="W291" s="18" t="str">
        <f>IF(E291="Y",PAR!$C$12,IF(J291="","",IF(J291&lt;11,PAR!$C$6,IF(J291&lt;50,PAR!$C$7,IF(J291&lt;60,PAR!$C$8,IF(J291&lt;70,PAR!$C$9,IF(J291&lt;80,PAR!$C$10,IF(J291&gt;79,PAR!$C$11,0))))))))</f>
        <v/>
      </c>
      <c r="X291" s="18" t="str">
        <f t="shared" si="77"/>
        <v/>
      </c>
      <c r="Y291" s="21" t="str">
        <f t="shared" si="78"/>
        <v/>
      </c>
      <c r="Z291" s="100" t="str">
        <f>IF(IFERROR(IF(E291="Y",(W291*(X291-PAR!$C$15)*Y291)*C291,IF(AA291&lt;&gt;"","See Comment",IFERROR(W291*X291*Y291*C291,"Fill all blue cells"))),"Fill all blue cells")&lt;0,0,(IFERROR(IF(E291="Y",(W291*(X291-PAR!$C$15)*Y291)*C291,IF(AA291&lt;&gt;"","See Comment",IFERROR(W291*X291*Y291*C291,"Fill all blue cells"))),"Fill all blue cells")))</f>
        <v>See Comment</v>
      </c>
      <c r="AA291"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1" s="116" t="str">
        <f t="shared" si="85"/>
        <v/>
      </c>
      <c r="AC291" s="20" t="str">
        <f>IF(AND(E291="Y",D291&lt;PAR!C292),"Non bus miles are less than the minumum of 10 (see column D)",IF(AND(E291="Y",F291&lt;&gt;""),"Non Bus Miles",""))</f>
        <v/>
      </c>
      <c r="AD291" s="20" t="str">
        <f t="shared" si="86"/>
        <v/>
      </c>
      <c r="AE291" s="20" t="str">
        <f t="shared" si="79"/>
        <v>Fill Rated Capacity (see column J),</v>
      </c>
      <c r="AF291" s="20" t="str">
        <f t="shared" si="80"/>
        <v/>
      </c>
      <c r="AG291" s="20" t="str">
        <f t="shared" si="81"/>
        <v>Fill reimbursement % for this LE (see column C)</v>
      </c>
      <c r="AH291" s="20" t="str">
        <f t="shared" si="87"/>
        <v>This route has no eligible riders (see columns L:O)</v>
      </c>
      <c r="AI291" s="20" t="str">
        <f t="shared" si="82"/>
        <v>Fill miles per day (see column D)</v>
      </c>
      <c r="AJ291" s="20" t="str">
        <f t="shared" si="88"/>
        <v>Fill number of operating days (see column F)</v>
      </c>
      <c r="AK291" s="20" t="str">
        <f t="shared" si="89"/>
        <v>Fill Non-Bus Miles with Y or N (See column E)</v>
      </c>
      <c r="AL291" s="98" t="s">
        <v>422</v>
      </c>
      <c r="AM291" s="20" t="str">
        <f t="shared" si="90"/>
        <v/>
      </c>
    </row>
    <row r="292" spans="1:39" x14ac:dyDescent="0.75">
      <c r="A292" s="1" t="s">
        <v>377</v>
      </c>
      <c r="B292" s="130"/>
      <c r="C292" s="33"/>
      <c r="D292" s="41"/>
      <c r="E292" s="48"/>
      <c r="F292" s="45"/>
      <c r="G292" s="32"/>
      <c r="H292" s="16" t="s">
        <v>50</v>
      </c>
      <c r="I292" s="126"/>
      <c r="J292" s="32"/>
      <c r="K292" s="16" t="str">
        <f t="shared" si="74"/>
        <v/>
      </c>
      <c r="L292" s="37"/>
      <c r="M292" s="37"/>
      <c r="N292" s="37"/>
      <c r="O292" s="37"/>
      <c r="P292" s="16" t="str">
        <f t="shared" si="83"/>
        <v/>
      </c>
      <c r="Q292" s="37"/>
      <c r="R292" s="37"/>
      <c r="S292" s="37"/>
      <c r="T292" s="37"/>
      <c r="U292" s="16">
        <f t="shared" si="75"/>
        <v>0</v>
      </c>
      <c r="V292" s="16" t="str">
        <f t="shared" si="76"/>
        <v/>
      </c>
      <c r="W292" s="16" t="str">
        <f>IF(E292="Y",PAR!$C$12,IF(J292="","",IF(J292&lt;11,PAR!$C$6,IF(J292&lt;50,PAR!$C$7,IF(J292&lt;60,PAR!$C$8,IF(J292&lt;70,PAR!$C$9,IF(J292&lt;80,PAR!$C$10,IF(J292&gt;79,PAR!$C$11,0))))))))</f>
        <v/>
      </c>
      <c r="X292" s="16" t="str">
        <f t="shared" si="77"/>
        <v/>
      </c>
      <c r="Y292" s="22" t="str">
        <f t="shared" si="78"/>
        <v/>
      </c>
      <c r="Z292" s="100" t="str">
        <f>IF(IFERROR(IF(E292="Y",(W292*(X292-PAR!$C$15)*Y292)*C292,IF(AA292&lt;&gt;"","See Comment",IFERROR(W292*X292*Y292*C292,"Fill all blue cells"))),"Fill all blue cells")&lt;0,0,(IFERROR(IF(E292="Y",(W292*(X292-PAR!$C$15)*Y292)*C292,IF(AA292&lt;&gt;"","See Comment",IFERROR(W292*X292*Y292*C292,"Fill all blue cells"))),"Fill all blue cells")))</f>
        <v>See Comment</v>
      </c>
      <c r="AA292"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2" s="116" t="str">
        <f t="shared" si="85"/>
        <v/>
      </c>
      <c r="AC292" s="20" t="str">
        <f>IF(AND(E292="Y",D292&lt;PAR!C293),"Non bus miles are less than the minumum of 10 (see column D)",IF(AND(E292="Y",F292&lt;&gt;""),"Non Bus Miles",""))</f>
        <v/>
      </c>
      <c r="AD292" s="20" t="str">
        <f t="shared" si="86"/>
        <v/>
      </c>
      <c r="AE292" s="20" t="str">
        <f t="shared" si="79"/>
        <v>Fill Rated Capacity (see column J),</v>
      </c>
      <c r="AF292" s="20" t="str">
        <f t="shared" si="80"/>
        <v/>
      </c>
      <c r="AG292" s="20" t="str">
        <f t="shared" si="81"/>
        <v>Fill reimbursement % for this LE (see column C)</v>
      </c>
      <c r="AH292" s="20" t="str">
        <f t="shared" si="87"/>
        <v>This route has no eligible riders (see columns L:O)</v>
      </c>
      <c r="AI292" s="20" t="str">
        <f t="shared" si="82"/>
        <v>Fill miles per day (see column D)</v>
      </c>
      <c r="AJ292" s="20" t="str">
        <f t="shared" si="88"/>
        <v>Fill number of operating days (see column F)</v>
      </c>
      <c r="AK292" s="20" t="str">
        <f t="shared" si="89"/>
        <v>Fill Non-Bus Miles with Y or N (See column E)</v>
      </c>
      <c r="AL292" s="98" t="s">
        <v>422</v>
      </c>
      <c r="AM292" s="20" t="str">
        <f t="shared" si="90"/>
        <v/>
      </c>
    </row>
    <row r="293" spans="1:39" x14ac:dyDescent="0.75">
      <c r="A293" s="1" t="s">
        <v>378</v>
      </c>
      <c r="B293" s="130"/>
      <c r="C293" s="36"/>
      <c r="D293" s="42"/>
      <c r="E293" s="47"/>
      <c r="F293" s="44"/>
      <c r="G293" s="35"/>
      <c r="H293" s="18" t="s">
        <v>50</v>
      </c>
      <c r="I293" s="125"/>
      <c r="J293" s="35"/>
      <c r="K293" s="18" t="str">
        <f t="shared" si="74"/>
        <v/>
      </c>
      <c r="L293" s="38"/>
      <c r="M293" s="38"/>
      <c r="N293" s="38"/>
      <c r="O293" s="38"/>
      <c r="P293" s="18" t="str">
        <f t="shared" si="83"/>
        <v/>
      </c>
      <c r="Q293" s="38"/>
      <c r="R293" s="38"/>
      <c r="S293" s="38"/>
      <c r="T293" s="38"/>
      <c r="U293" s="18">
        <f t="shared" si="75"/>
        <v>0</v>
      </c>
      <c r="V293" s="18" t="str">
        <f t="shared" si="76"/>
        <v/>
      </c>
      <c r="W293" s="18" t="str">
        <f>IF(E293="Y",PAR!$C$12,IF(J293="","",IF(J293&lt;11,PAR!$C$6,IF(J293&lt;50,PAR!$C$7,IF(J293&lt;60,PAR!$C$8,IF(J293&lt;70,PAR!$C$9,IF(J293&lt;80,PAR!$C$10,IF(J293&gt;79,PAR!$C$11,0))))))))</f>
        <v/>
      </c>
      <c r="X293" s="18" t="str">
        <f t="shared" si="77"/>
        <v/>
      </c>
      <c r="Y293" s="21" t="str">
        <f t="shared" si="78"/>
        <v/>
      </c>
      <c r="Z293" s="100" t="str">
        <f>IF(IFERROR(IF(E293="Y",(W293*(X293-PAR!$C$15)*Y293)*C293,IF(AA293&lt;&gt;"","See Comment",IFERROR(W293*X293*Y293*C293,"Fill all blue cells"))),"Fill all blue cells")&lt;0,0,(IFERROR(IF(E293="Y",(W293*(X293-PAR!$C$15)*Y293)*C293,IF(AA293&lt;&gt;"","See Comment",IFERROR(W293*X293*Y293*C293,"Fill all blue cells"))),"Fill all blue cells")))</f>
        <v>See Comment</v>
      </c>
      <c r="AA293"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3" s="116" t="str">
        <f t="shared" si="85"/>
        <v/>
      </c>
      <c r="AC293" s="20" t="str">
        <f>IF(AND(E293="Y",D293&lt;PAR!C294),"Non bus miles are less than the minumum of 10 (see column D)",IF(AND(E293="Y",F293&lt;&gt;""),"Non Bus Miles",""))</f>
        <v/>
      </c>
      <c r="AD293" s="20" t="str">
        <f t="shared" si="86"/>
        <v/>
      </c>
      <c r="AE293" s="20" t="str">
        <f t="shared" si="79"/>
        <v>Fill Rated Capacity (see column J),</v>
      </c>
      <c r="AF293" s="20" t="str">
        <f t="shared" si="80"/>
        <v/>
      </c>
      <c r="AG293" s="20" t="str">
        <f t="shared" si="81"/>
        <v>Fill reimbursement % for this LE (see column C)</v>
      </c>
      <c r="AH293" s="20" t="str">
        <f t="shared" si="87"/>
        <v>This route has no eligible riders (see columns L:O)</v>
      </c>
      <c r="AI293" s="20" t="str">
        <f t="shared" si="82"/>
        <v>Fill miles per day (see column D)</v>
      </c>
      <c r="AJ293" s="20" t="str">
        <f t="shared" si="88"/>
        <v>Fill number of operating days (see column F)</v>
      </c>
      <c r="AK293" s="20" t="str">
        <f t="shared" si="89"/>
        <v>Fill Non-Bus Miles with Y or N (See column E)</v>
      </c>
      <c r="AL293" s="98" t="s">
        <v>422</v>
      </c>
      <c r="AM293" s="20" t="str">
        <f t="shared" si="90"/>
        <v/>
      </c>
    </row>
    <row r="294" spans="1:39" x14ac:dyDescent="0.75">
      <c r="A294" s="1" t="s">
        <v>379</v>
      </c>
      <c r="B294" s="130"/>
      <c r="C294" s="33"/>
      <c r="D294" s="41"/>
      <c r="E294" s="48"/>
      <c r="F294" s="45"/>
      <c r="G294" s="32"/>
      <c r="H294" s="16" t="s">
        <v>50</v>
      </c>
      <c r="I294" s="126"/>
      <c r="J294" s="32"/>
      <c r="K294" s="16" t="str">
        <f t="shared" si="74"/>
        <v/>
      </c>
      <c r="L294" s="37"/>
      <c r="M294" s="37"/>
      <c r="N294" s="37"/>
      <c r="O294" s="37"/>
      <c r="P294" s="16" t="str">
        <f t="shared" si="83"/>
        <v/>
      </c>
      <c r="Q294" s="37"/>
      <c r="R294" s="37"/>
      <c r="S294" s="37"/>
      <c r="T294" s="37"/>
      <c r="U294" s="16">
        <f t="shared" si="75"/>
        <v>0</v>
      </c>
      <c r="V294" s="16" t="str">
        <f t="shared" si="76"/>
        <v/>
      </c>
      <c r="W294" s="16" t="str">
        <f>IF(E294="Y",PAR!$C$12,IF(J294="","",IF(J294&lt;11,PAR!$C$6,IF(J294&lt;50,PAR!$C$7,IF(J294&lt;60,PAR!$C$8,IF(J294&lt;70,PAR!$C$9,IF(J294&lt;80,PAR!$C$10,IF(J294&gt;79,PAR!$C$11,0))))))))</f>
        <v/>
      </c>
      <c r="X294" s="16" t="str">
        <f t="shared" si="77"/>
        <v/>
      </c>
      <c r="Y294" s="22" t="str">
        <f t="shared" si="78"/>
        <v/>
      </c>
      <c r="Z294" s="100" t="str">
        <f>IF(IFERROR(IF(E294="Y",(W294*(X294-PAR!$C$15)*Y294)*C294,IF(AA294&lt;&gt;"","See Comment",IFERROR(W294*X294*Y294*C294,"Fill all blue cells"))),"Fill all blue cells")&lt;0,0,(IFERROR(IF(E294="Y",(W294*(X294-PAR!$C$15)*Y294)*C294,IF(AA294&lt;&gt;"","See Comment",IFERROR(W294*X294*Y294*C294,"Fill all blue cells"))),"Fill all blue cells")))</f>
        <v>See Comment</v>
      </c>
      <c r="AA294"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4" s="116" t="str">
        <f t="shared" si="85"/>
        <v/>
      </c>
      <c r="AC294" s="20" t="str">
        <f>IF(AND(E294="Y",D294&lt;PAR!C295),"Non bus miles are less than the minumum of 10 (see column D)",IF(AND(E294="Y",F294&lt;&gt;""),"Non Bus Miles",""))</f>
        <v/>
      </c>
      <c r="AD294" s="20" t="str">
        <f t="shared" si="86"/>
        <v/>
      </c>
      <c r="AE294" s="20" t="str">
        <f t="shared" si="79"/>
        <v>Fill Rated Capacity (see column J),</v>
      </c>
      <c r="AF294" s="20" t="str">
        <f t="shared" si="80"/>
        <v/>
      </c>
      <c r="AG294" s="20" t="str">
        <f t="shared" si="81"/>
        <v>Fill reimbursement % for this LE (see column C)</v>
      </c>
      <c r="AH294" s="20" t="str">
        <f t="shared" si="87"/>
        <v>This route has no eligible riders (see columns L:O)</v>
      </c>
      <c r="AI294" s="20" t="str">
        <f t="shared" si="82"/>
        <v>Fill miles per day (see column D)</v>
      </c>
      <c r="AJ294" s="20" t="str">
        <f t="shared" si="88"/>
        <v>Fill number of operating days (see column F)</v>
      </c>
      <c r="AK294" s="20" t="str">
        <f t="shared" si="89"/>
        <v>Fill Non-Bus Miles with Y or N (See column E)</v>
      </c>
      <c r="AL294" s="98" t="s">
        <v>422</v>
      </c>
      <c r="AM294" s="20" t="str">
        <f t="shared" si="90"/>
        <v/>
      </c>
    </row>
    <row r="295" spans="1:39" x14ac:dyDescent="0.75">
      <c r="A295" s="1" t="s">
        <v>380</v>
      </c>
      <c r="B295" s="130"/>
      <c r="C295" s="36"/>
      <c r="D295" s="42"/>
      <c r="E295" s="47"/>
      <c r="F295" s="44"/>
      <c r="G295" s="35"/>
      <c r="H295" s="18" t="s">
        <v>50</v>
      </c>
      <c r="I295" s="125"/>
      <c r="J295" s="35"/>
      <c r="K295" s="18" t="str">
        <f t="shared" si="74"/>
        <v/>
      </c>
      <c r="L295" s="38"/>
      <c r="M295" s="38"/>
      <c r="N295" s="38"/>
      <c r="O295" s="38"/>
      <c r="P295" s="18" t="str">
        <f t="shared" si="83"/>
        <v/>
      </c>
      <c r="Q295" s="38"/>
      <c r="R295" s="38"/>
      <c r="S295" s="38"/>
      <c r="T295" s="38"/>
      <c r="U295" s="18">
        <f t="shared" si="75"/>
        <v>0</v>
      </c>
      <c r="V295" s="18" t="str">
        <f t="shared" si="76"/>
        <v/>
      </c>
      <c r="W295" s="18" t="str">
        <f>IF(E295="Y",PAR!$C$12,IF(J295="","",IF(J295&lt;11,PAR!$C$6,IF(J295&lt;50,PAR!$C$7,IF(J295&lt;60,PAR!$C$8,IF(J295&lt;70,PAR!$C$9,IF(J295&lt;80,PAR!$C$10,IF(J295&gt;79,PAR!$C$11,0))))))))</f>
        <v/>
      </c>
      <c r="X295" s="18" t="str">
        <f t="shared" si="77"/>
        <v/>
      </c>
      <c r="Y295" s="21" t="str">
        <f t="shared" si="78"/>
        <v/>
      </c>
      <c r="Z295" s="100" t="str">
        <f>IF(IFERROR(IF(E295="Y",(W295*(X295-PAR!$C$15)*Y295)*C295,IF(AA295&lt;&gt;"","See Comment",IFERROR(W295*X295*Y295*C295,"Fill all blue cells"))),"Fill all blue cells")&lt;0,0,(IFERROR(IF(E295="Y",(W295*(X295-PAR!$C$15)*Y295)*C295,IF(AA295&lt;&gt;"","See Comment",IFERROR(W295*X295*Y295*C295,"Fill all blue cells"))),"Fill all blue cells")))</f>
        <v>See Comment</v>
      </c>
      <c r="AA295"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5" s="116" t="str">
        <f t="shared" si="85"/>
        <v/>
      </c>
      <c r="AC295" s="20" t="str">
        <f>IF(AND(E295="Y",D295&lt;PAR!C296),"Non bus miles are less than the minumum of 10 (see column D)",IF(AND(E295="Y",F295&lt;&gt;""),"Non Bus Miles",""))</f>
        <v/>
      </c>
      <c r="AD295" s="20" t="str">
        <f t="shared" si="86"/>
        <v/>
      </c>
      <c r="AE295" s="20" t="str">
        <f t="shared" si="79"/>
        <v>Fill Rated Capacity (see column J),</v>
      </c>
      <c r="AF295" s="20" t="str">
        <f t="shared" si="80"/>
        <v/>
      </c>
      <c r="AG295" s="20" t="str">
        <f t="shared" si="81"/>
        <v>Fill reimbursement % for this LE (see column C)</v>
      </c>
      <c r="AH295" s="20" t="str">
        <f t="shared" si="87"/>
        <v>This route has no eligible riders (see columns L:O)</v>
      </c>
      <c r="AI295" s="20" t="str">
        <f t="shared" si="82"/>
        <v>Fill miles per day (see column D)</v>
      </c>
      <c r="AJ295" s="20" t="str">
        <f t="shared" si="88"/>
        <v>Fill number of operating days (see column F)</v>
      </c>
      <c r="AK295" s="20" t="str">
        <f t="shared" si="89"/>
        <v>Fill Non-Bus Miles with Y or N (See column E)</v>
      </c>
      <c r="AL295" s="98" t="s">
        <v>422</v>
      </c>
      <c r="AM295" s="20" t="str">
        <f t="shared" si="90"/>
        <v/>
      </c>
    </row>
    <row r="296" spans="1:39" x14ac:dyDescent="0.75">
      <c r="A296" s="1" t="s">
        <v>381</v>
      </c>
      <c r="B296" s="130"/>
      <c r="C296" s="33"/>
      <c r="D296" s="41"/>
      <c r="E296" s="48"/>
      <c r="F296" s="45"/>
      <c r="G296" s="32"/>
      <c r="H296" s="16" t="s">
        <v>50</v>
      </c>
      <c r="I296" s="126"/>
      <c r="J296" s="32"/>
      <c r="K296" s="16" t="str">
        <f t="shared" si="74"/>
        <v/>
      </c>
      <c r="L296" s="37"/>
      <c r="M296" s="37"/>
      <c r="N296" s="37"/>
      <c r="O296" s="37"/>
      <c r="P296" s="16" t="str">
        <f t="shared" si="83"/>
        <v/>
      </c>
      <c r="Q296" s="37"/>
      <c r="R296" s="37"/>
      <c r="S296" s="37"/>
      <c r="T296" s="37"/>
      <c r="U296" s="16">
        <f t="shared" si="75"/>
        <v>0</v>
      </c>
      <c r="V296" s="16" t="str">
        <f t="shared" si="76"/>
        <v/>
      </c>
      <c r="W296" s="16" t="str">
        <f>IF(E296="Y",PAR!$C$12,IF(J296="","",IF(J296&lt;11,PAR!$C$6,IF(J296&lt;50,PAR!$C$7,IF(J296&lt;60,PAR!$C$8,IF(J296&lt;70,PAR!$C$9,IF(J296&lt;80,PAR!$C$10,IF(J296&gt;79,PAR!$C$11,0))))))))</f>
        <v/>
      </c>
      <c r="X296" s="16" t="str">
        <f t="shared" si="77"/>
        <v/>
      </c>
      <c r="Y296" s="22" t="str">
        <f t="shared" si="78"/>
        <v/>
      </c>
      <c r="Z296" s="100" t="str">
        <f>IF(IFERROR(IF(E296="Y",(W296*(X296-PAR!$C$15)*Y296)*C296,IF(AA296&lt;&gt;"","See Comment",IFERROR(W296*X296*Y296*C296,"Fill all blue cells"))),"Fill all blue cells")&lt;0,0,(IFERROR(IF(E296="Y",(W296*(X296-PAR!$C$15)*Y296)*C296,IF(AA296&lt;&gt;"","See Comment",IFERROR(W296*X296*Y296*C296,"Fill all blue cells"))),"Fill all blue cells")))</f>
        <v>See Comment</v>
      </c>
      <c r="AA296"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6" s="116" t="str">
        <f t="shared" si="85"/>
        <v/>
      </c>
      <c r="AC296" s="20" t="str">
        <f>IF(AND(E296="Y",D296&lt;PAR!C297),"Non bus miles are less than the minumum of 10 (see column D)",IF(AND(E296="Y",F296&lt;&gt;""),"Non Bus Miles",""))</f>
        <v/>
      </c>
      <c r="AD296" s="20" t="str">
        <f t="shared" si="86"/>
        <v/>
      </c>
      <c r="AE296" s="20" t="str">
        <f t="shared" si="79"/>
        <v>Fill Rated Capacity (see column J),</v>
      </c>
      <c r="AF296" s="20" t="str">
        <f t="shared" si="80"/>
        <v/>
      </c>
      <c r="AG296" s="20" t="str">
        <f t="shared" si="81"/>
        <v>Fill reimbursement % for this LE (see column C)</v>
      </c>
      <c r="AH296" s="20" t="str">
        <f t="shared" si="87"/>
        <v>This route has no eligible riders (see columns L:O)</v>
      </c>
      <c r="AI296" s="20" t="str">
        <f t="shared" si="82"/>
        <v>Fill miles per day (see column D)</v>
      </c>
      <c r="AJ296" s="20" t="str">
        <f t="shared" si="88"/>
        <v>Fill number of operating days (see column F)</v>
      </c>
      <c r="AK296" s="20" t="str">
        <f t="shared" si="89"/>
        <v>Fill Non-Bus Miles with Y or N (See column E)</v>
      </c>
      <c r="AL296" s="98" t="s">
        <v>422</v>
      </c>
      <c r="AM296" s="20" t="str">
        <f t="shared" si="90"/>
        <v/>
      </c>
    </row>
    <row r="297" spans="1:39" x14ac:dyDescent="0.75">
      <c r="A297" s="1" t="s">
        <v>382</v>
      </c>
      <c r="B297" s="130"/>
      <c r="C297" s="36"/>
      <c r="D297" s="42"/>
      <c r="E297" s="47"/>
      <c r="F297" s="44"/>
      <c r="G297" s="35"/>
      <c r="H297" s="18" t="s">
        <v>50</v>
      </c>
      <c r="I297" s="125"/>
      <c r="J297" s="35"/>
      <c r="K297" s="18" t="str">
        <f t="shared" si="74"/>
        <v/>
      </c>
      <c r="L297" s="38"/>
      <c r="M297" s="38"/>
      <c r="N297" s="38"/>
      <c r="O297" s="38"/>
      <c r="P297" s="18" t="str">
        <f t="shared" si="83"/>
        <v/>
      </c>
      <c r="Q297" s="38"/>
      <c r="R297" s="38"/>
      <c r="S297" s="38"/>
      <c r="T297" s="38"/>
      <c r="U297" s="18">
        <f t="shared" si="75"/>
        <v>0</v>
      </c>
      <c r="V297" s="18" t="str">
        <f t="shared" si="76"/>
        <v/>
      </c>
      <c r="W297" s="18" t="str">
        <f>IF(E297="Y",PAR!$C$12,IF(J297="","",IF(J297&lt;11,PAR!$C$6,IF(J297&lt;50,PAR!$C$7,IF(J297&lt;60,PAR!$C$8,IF(J297&lt;70,PAR!$C$9,IF(J297&lt;80,PAR!$C$10,IF(J297&gt;79,PAR!$C$11,0))))))))</f>
        <v/>
      </c>
      <c r="X297" s="18" t="str">
        <f t="shared" si="77"/>
        <v/>
      </c>
      <c r="Y297" s="21" t="str">
        <f t="shared" si="78"/>
        <v/>
      </c>
      <c r="Z297" s="100" t="str">
        <f>IF(IFERROR(IF(E297="Y",(W297*(X297-PAR!$C$15)*Y297)*C297,IF(AA297&lt;&gt;"","See Comment",IFERROR(W297*X297*Y297*C297,"Fill all blue cells"))),"Fill all blue cells")&lt;0,0,(IFERROR(IF(E297="Y",(W297*(X297-PAR!$C$15)*Y297)*C297,IF(AA297&lt;&gt;"","See Comment",IFERROR(W297*X297*Y297*C297,"Fill all blue cells"))),"Fill all blue cells")))</f>
        <v>See Comment</v>
      </c>
      <c r="AA297"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7" s="116" t="str">
        <f t="shared" si="85"/>
        <v/>
      </c>
      <c r="AC297" s="20" t="str">
        <f>IF(AND(E297="Y",D297&lt;PAR!C298),"Non bus miles are less than the minumum of 10 (see column D)",IF(AND(E297="Y",F297&lt;&gt;""),"Non Bus Miles",""))</f>
        <v/>
      </c>
      <c r="AD297" s="20" t="str">
        <f t="shared" si="86"/>
        <v/>
      </c>
      <c r="AE297" s="20" t="str">
        <f t="shared" si="79"/>
        <v>Fill Rated Capacity (see column J),</v>
      </c>
      <c r="AF297" s="20" t="str">
        <f t="shared" si="80"/>
        <v/>
      </c>
      <c r="AG297" s="20" t="str">
        <f t="shared" si="81"/>
        <v>Fill reimbursement % for this LE (see column C)</v>
      </c>
      <c r="AH297" s="20" t="str">
        <f t="shared" si="87"/>
        <v>This route has no eligible riders (see columns L:O)</v>
      </c>
      <c r="AI297" s="20" t="str">
        <f t="shared" si="82"/>
        <v>Fill miles per day (see column D)</v>
      </c>
      <c r="AJ297" s="20" t="str">
        <f t="shared" si="88"/>
        <v>Fill number of operating days (see column F)</v>
      </c>
      <c r="AK297" s="20" t="str">
        <f t="shared" si="89"/>
        <v>Fill Non-Bus Miles with Y or N (See column E)</v>
      </c>
      <c r="AL297" s="98" t="s">
        <v>422</v>
      </c>
      <c r="AM297" s="20" t="str">
        <f t="shared" si="90"/>
        <v/>
      </c>
    </row>
    <row r="298" spans="1:39" x14ac:dyDescent="0.75">
      <c r="A298" s="1" t="s">
        <v>383</v>
      </c>
      <c r="B298" s="130"/>
      <c r="C298" s="33"/>
      <c r="D298" s="41"/>
      <c r="E298" s="48"/>
      <c r="F298" s="45"/>
      <c r="G298" s="32"/>
      <c r="H298" s="16" t="s">
        <v>50</v>
      </c>
      <c r="I298" s="126"/>
      <c r="J298" s="32"/>
      <c r="K298" s="16" t="str">
        <f t="shared" si="74"/>
        <v/>
      </c>
      <c r="L298" s="37"/>
      <c r="M298" s="37"/>
      <c r="N298" s="37"/>
      <c r="O298" s="37"/>
      <c r="P298" s="16" t="str">
        <f t="shared" si="83"/>
        <v/>
      </c>
      <c r="Q298" s="37"/>
      <c r="R298" s="37"/>
      <c r="S298" s="37"/>
      <c r="T298" s="37"/>
      <c r="U298" s="16">
        <f t="shared" si="75"/>
        <v>0</v>
      </c>
      <c r="V298" s="16" t="str">
        <f t="shared" si="76"/>
        <v/>
      </c>
      <c r="W298" s="16" t="str">
        <f>IF(E298="Y",PAR!$C$12,IF(J298="","",IF(J298&lt;11,PAR!$C$6,IF(J298&lt;50,PAR!$C$7,IF(J298&lt;60,PAR!$C$8,IF(J298&lt;70,PAR!$C$9,IF(J298&lt;80,PAR!$C$10,IF(J298&gt;79,PAR!$C$11,0))))))))</f>
        <v/>
      </c>
      <c r="X298" s="16" t="str">
        <f t="shared" si="77"/>
        <v/>
      </c>
      <c r="Y298" s="22" t="str">
        <f t="shared" si="78"/>
        <v/>
      </c>
      <c r="Z298" s="100" t="str">
        <f>IF(IFERROR(IF(E298="Y",(W298*(X298-PAR!$C$15)*Y298)*C298,IF(AA298&lt;&gt;"","See Comment",IFERROR(W298*X298*Y298*C298,"Fill all blue cells"))),"Fill all blue cells")&lt;0,0,(IFERROR(IF(E298="Y",(W298*(X298-PAR!$C$15)*Y298)*C298,IF(AA298&lt;&gt;"","See Comment",IFERROR(W298*X298*Y298*C298,"Fill all blue cells"))),"Fill all blue cells")))</f>
        <v>See Comment</v>
      </c>
      <c r="AA298"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8" s="116" t="str">
        <f t="shared" si="85"/>
        <v/>
      </c>
      <c r="AC298" s="20" t="str">
        <f>IF(AND(E298="Y",D298&lt;PAR!C299),"Non bus miles are less than the minumum of 10 (see column D)",IF(AND(E298="Y",F298&lt;&gt;""),"Non Bus Miles",""))</f>
        <v/>
      </c>
      <c r="AD298" s="20" t="str">
        <f t="shared" si="86"/>
        <v/>
      </c>
      <c r="AE298" s="20" t="str">
        <f t="shared" si="79"/>
        <v>Fill Rated Capacity (see column J),</v>
      </c>
      <c r="AF298" s="20" t="str">
        <f t="shared" si="80"/>
        <v/>
      </c>
      <c r="AG298" s="20" t="str">
        <f t="shared" si="81"/>
        <v>Fill reimbursement % for this LE (see column C)</v>
      </c>
      <c r="AH298" s="20" t="str">
        <f t="shared" si="87"/>
        <v>This route has no eligible riders (see columns L:O)</v>
      </c>
      <c r="AI298" s="20" t="str">
        <f t="shared" si="82"/>
        <v>Fill miles per day (see column D)</v>
      </c>
      <c r="AJ298" s="20" t="str">
        <f t="shared" si="88"/>
        <v>Fill number of operating days (see column F)</v>
      </c>
      <c r="AK298" s="20" t="str">
        <f t="shared" si="89"/>
        <v>Fill Non-Bus Miles with Y or N (See column E)</v>
      </c>
      <c r="AL298" s="98" t="s">
        <v>422</v>
      </c>
      <c r="AM298" s="20" t="str">
        <f t="shared" si="90"/>
        <v/>
      </c>
    </row>
    <row r="299" spans="1:39" x14ac:dyDescent="0.75">
      <c r="A299" s="1" t="s">
        <v>384</v>
      </c>
      <c r="B299" s="130"/>
      <c r="C299" s="36"/>
      <c r="D299" s="42"/>
      <c r="E299" s="47"/>
      <c r="F299" s="44"/>
      <c r="G299" s="35"/>
      <c r="H299" s="18" t="s">
        <v>50</v>
      </c>
      <c r="I299" s="125"/>
      <c r="J299" s="35"/>
      <c r="K299" s="18" t="str">
        <f t="shared" si="74"/>
        <v/>
      </c>
      <c r="L299" s="38"/>
      <c r="M299" s="38"/>
      <c r="N299" s="38"/>
      <c r="O299" s="38"/>
      <c r="P299" s="18" t="str">
        <f t="shared" si="83"/>
        <v/>
      </c>
      <c r="Q299" s="38"/>
      <c r="R299" s="38"/>
      <c r="S299" s="38"/>
      <c r="T299" s="38"/>
      <c r="U299" s="18">
        <f t="shared" si="75"/>
        <v>0</v>
      </c>
      <c r="V299" s="18" t="str">
        <f t="shared" si="76"/>
        <v/>
      </c>
      <c r="W299" s="18" t="str">
        <f>IF(E299="Y",PAR!$C$12,IF(J299="","",IF(J299&lt;11,PAR!$C$6,IF(J299&lt;50,PAR!$C$7,IF(J299&lt;60,PAR!$C$8,IF(J299&lt;70,PAR!$C$9,IF(J299&lt;80,PAR!$C$10,IF(J299&gt;79,PAR!$C$11,0))))))))</f>
        <v/>
      </c>
      <c r="X299" s="18" t="str">
        <f t="shared" si="77"/>
        <v/>
      </c>
      <c r="Y299" s="21" t="str">
        <f t="shared" si="78"/>
        <v/>
      </c>
      <c r="Z299" s="100" t="str">
        <f>IF(IFERROR(IF(E299="Y",(W299*(X299-PAR!$C$15)*Y299)*C299,IF(AA299&lt;&gt;"","See Comment",IFERROR(W299*X299*Y299*C299,"Fill all blue cells"))),"Fill all blue cells")&lt;0,0,(IFERROR(IF(E299="Y",(W299*(X299-PAR!$C$15)*Y299)*C299,IF(AA299&lt;&gt;"","See Comment",IFERROR(W299*X299*Y299*C299,"Fill all blue cells"))),"Fill all blue cells")))</f>
        <v>See Comment</v>
      </c>
      <c r="AA299"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9" s="116" t="str">
        <f t="shared" si="85"/>
        <v/>
      </c>
      <c r="AC299" s="20" t="str">
        <f>IF(AND(E299="Y",D299&lt;PAR!C300),"Non bus miles are less than the minumum of 10 (see column D)",IF(AND(E299="Y",F299&lt;&gt;""),"Non Bus Miles",""))</f>
        <v/>
      </c>
      <c r="AD299" s="20" t="str">
        <f t="shared" si="86"/>
        <v/>
      </c>
      <c r="AE299" s="20" t="str">
        <f t="shared" si="79"/>
        <v>Fill Rated Capacity (see column J),</v>
      </c>
      <c r="AF299" s="20" t="str">
        <f t="shared" si="80"/>
        <v/>
      </c>
      <c r="AG299" s="20" t="str">
        <f t="shared" si="81"/>
        <v>Fill reimbursement % for this LE (see column C)</v>
      </c>
      <c r="AH299" s="20" t="str">
        <f t="shared" si="87"/>
        <v>This route has no eligible riders (see columns L:O)</v>
      </c>
      <c r="AI299" s="20" t="str">
        <f t="shared" si="82"/>
        <v>Fill miles per day (see column D)</v>
      </c>
      <c r="AJ299" s="20" t="str">
        <f t="shared" si="88"/>
        <v>Fill number of operating days (see column F)</v>
      </c>
      <c r="AK299" s="20" t="str">
        <f t="shared" si="89"/>
        <v>Fill Non-Bus Miles with Y or N (See column E)</v>
      </c>
      <c r="AL299" s="98" t="s">
        <v>422</v>
      </c>
      <c r="AM299" s="20" t="str">
        <f t="shared" si="90"/>
        <v/>
      </c>
    </row>
    <row r="300" spans="1:39" x14ac:dyDescent="0.75">
      <c r="A300" s="1" t="s">
        <v>385</v>
      </c>
      <c r="B300" s="130"/>
      <c r="C300" s="33"/>
      <c r="D300" s="41"/>
      <c r="E300" s="48"/>
      <c r="F300" s="45"/>
      <c r="G300" s="32"/>
      <c r="H300" s="16" t="s">
        <v>50</v>
      </c>
      <c r="I300" s="126"/>
      <c r="J300" s="32"/>
      <c r="K300" s="16" t="str">
        <f t="shared" si="74"/>
        <v/>
      </c>
      <c r="L300" s="37"/>
      <c r="M300" s="37"/>
      <c r="N300" s="37"/>
      <c r="O300" s="37"/>
      <c r="P300" s="16" t="str">
        <f t="shared" si="83"/>
        <v/>
      </c>
      <c r="Q300" s="37"/>
      <c r="R300" s="37"/>
      <c r="S300" s="37"/>
      <c r="T300" s="37"/>
      <c r="U300" s="16">
        <f t="shared" si="75"/>
        <v>0</v>
      </c>
      <c r="V300" s="16" t="str">
        <f t="shared" si="76"/>
        <v/>
      </c>
      <c r="W300" s="16" t="str">
        <f>IF(E300="Y",PAR!$C$12,IF(J300="","",IF(J300&lt;11,PAR!$C$6,IF(J300&lt;50,PAR!$C$7,IF(J300&lt;60,PAR!$C$8,IF(J300&lt;70,PAR!$C$9,IF(J300&lt;80,PAR!$C$10,IF(J300&gt;79,PAR!$C$11,0))))))))</f>
        <v/>
      </c>
      <c r="X300" s="16" t="str">
        <f t="shared" si="77"/>
        <v/>
      </c>
      <c r="Y300" s="22" t="str">
        <f t="shared" si="78"/>
        <v/>
      </c>
      <c r="Z300" s="100" t="str">
        <f>IF(IFERROR(IF(E300="Y",(W300*(X300-PAR!$C$15)*Y300)*C300,IF(AA300&lt;&gt;"","See Comment",IFERROR(W300*X300*Y300*C300,"Fill all blue cells"))),"Fill all blue cells")&lt;0,0,(IFERROR(IF(E300="Y",(W300*(X300-PAR!$C$15)*Y300)*C300,IF(AA300&lt;&gt;"","See Comment",IFERROR(W300*X300*Y300*C300,"Fill all blue cells"))),"Fill all blue cells")))</f>
        <v>See Comment</v>
      </c>
      <c r="AA300"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300" s="116" t="str">
        <f t="shared" si="85"/>
        <v/>
      </c>
      <c r="AC300" s="20" t="str">
        <f>IF(AND(E300="Y",D300&lt;PAR!C301),"Non bus miles are less than the minumum of 10 (see column D)",IF(AND(E300="Y",F300&lt;&gt;""),"Non Bus Miles",""))</f>
        <v/>
      </c>
      <c r="AD300" s="20" t="str">
        <f t="shared" si="86"/>
        <v/>
      </c>
      <c r="AE300" s="20" t="str">
        <f t="shared" si="79"/>
        <v>Fill Rated Capacity (see column J),</v>
      </c>
      <c r="AF300" s="20" t="str">
        <f t="shared" si="80"/>
        <v/>
      </c>
      <c r="AG300" s="20" t="str">
        <f t="shared" si="81"/>
        <v>Fill reimbursement % for this LE (see column C)</v>
      </c>
      <c r="AH300" s="20" t="str">
        <f t="shared" si="87"/>
        <v>This route has no eligible riders (see columns L:O)</v>
      </c>
      <c r="AI300" s="20" t="str">
        <f t="shared" si="82"/>
        <v>Fill miles per day (see column D)</v>
      </c>
      <c r="AJ300" s="20" t="str">
        <f t="shared" si="88"/>
        <v>Fill number of operating days (see column F)</v>
      </c>
      <c r="AK300" s="20" t="str">
        <f t="shared" si="89"/>
        <v>Fill Non-Bus Miles with Y or N (See column E)</v>
      </c>
      <c r="AL300" s="98" t="s">
        <v>422</v>
      </c>
      <c r="AM300" s="20" t="str">
        <f t="shared" si="90"/>
        <v/>
      </c>
    </row>
    <row r="301" spans="1:39" x14ac:dyDescent="0.75">
      <c r="A301" s="1" t="s">
        <v>386</v>
      </c>
      <c r="B301" s="130"/>
      <c r="C301" s="36"/>
      <c r="D301" s="42"/>
      <c r="E301" s="47"/>
      <c r="F301" s="44"/>
      <c r="G301" s="35"/>
      <c r="H301" s="18" t="s">
        <v>50</v>
      </c>
      <c r="I301" s="125"/>
      <c r="J301" s="35"/>
      <c r="K301" s="18" t="str">
        <f t="shared" si="74"/>
        <v/>
      </c>
      <c r="L301" s="38"/>
      <c r="M301" s="38"/>
      <c r="N301" s="38"/>
      <c r="O301" s="38"/>
      <c r="P301" s="18" t="str">
        <f t="shared" si="83"/>
        <v/>
      </c>
      <c r="Q301" s="38"/>
      <c r="R301" s="38"/>
      <c r="S301" s="38"/>
      <c r="T301" s="38"/>
      <c r="U301" s="18">
        <f t="shared" si="75"/>
        <v>0</v>
      </c>
      <c r="V301" s="18" t="str">
        <f t="shared" si="76"/>
        <v/>
      </c>
      <c r="W301" s="18" t="str">
        <f>IF(E301="Y",PAR!$C$12,IF(J301="","",IF(J301&lt;11,PAR!$C$6,IF(J301&lt;50,PAR!$C$7,IF(J301&lt;60,PAR!$C$8,IF(J301&lt;70,PAR!$C$9,IF(J301&lt;80,PAR!$C$10,IF(J301&gt;79,PAR!$C$11,0))))))))</f>
        <v/>
      </c>
      <c r="X301" s="18" t="str">
        <f t="shared" si="77"/>
        <v/>
      </c>
      <c r="Y301" s="21" t="str">
        <f t="shared" si="78"/>
        <v/>
      </c>
      <c r="Z301" s="100" t="str">
        <f>IF(IFERROR(IF(E301="Y",(W301*(X301-PAR!$C$15)*Y301)*C301,IF(AA301&lt;&gt;"","See Comment",IFERROR(W301*X301*Y301*C301,"Fill all blue cells"))),"Fill all blue cells")&lt;0,0,(IFERROR(IF(E301="Y",(W301*(X301-PAR!$C$15)*Y301)*C301,IF(AA301&lt;&gt;"","See Comment",IFERROR(W301*X301*Y301*C301,"Fill all blue cells"))),"Fill all blue cells")))</f>
        <v>See Comment</v>
      </c>
      <c r="AA301"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301" s="116" t="str">
        <f t="shared" si="85"/>
        <v/>
      </c>
      <c r="AC301" s="20" t="str">
        <f>IF(AND(E301="Y",D301&lt;PAR!C302),"Non bus miles are less than the minumum of 10 (see column D)",IF(AND(E301="Y",F301&lt;&gt;""),"Non Bus Miles",""))</f>
        <v/>
      </c>
      <c r="AD301" s="20" t="str">
        <f t="shared" si="86"/>
        <v/>
      </c>
      <c r="AE301" s="20" t="str">
        <f t="shared" si="79"/>
        <v>Fill Rated Capacity (see column J),</v>
      </c>
      <c r="AF301" s="20" t="str">
        <f t="shared" si="80"/>
        <v/>
      </c>
      <c r="AG301" s="20" t="str">
        <f t="shared" si="81"/>
        <v>Fill reimbursement % for this LE (see column C)</v>
      </c>
      <c r="AH301" s="20" t="str">
        <f t="shared" si="87"/>
        <v>This route has no eligible riders (see columns L:O)</v>
      </c>
      <c r="AI301" s="20" t="str">
        <f t="shared" si="82"/>
        <v>Fill miles per day (see column D)</v>
      </c>
      <c r="AJ301" s="20" t="str">
        <f t="shared" si="88"/>
        <v>Fill number of operating days (see column F)</v>
      </c>
      <c r="AK301" s="20" t="str">
        <f t="shared" si="89"/>
        <v>Fill Non-Bus Miles with Y or N (See column E)</v>
      </c>
      <c r="AL301" s="98" t="s">
        <v>422</v>
      </c>
      <c r="AM301" s="20" t="str">
        <f t="shared" si="90"/>
        <v/>
      </c>
    </row>
    <row r="302" spans="1:39" x14ac:dyDescent="0.75">
      <c r="A302" s="1" t="s">
        <v>387</v>
      </c>
      <c r="B302" s="130"/>
      <c r="C302" s="33"/>
      <c r="D302" s="41"/>
      <c r="E302" s="48"/>
      <c r="F302" s="45"/>
      <c r="G302" s="32"/>
      <c r="H302" s="16" t="s">
        <v>50</v>
      </c>
      <c r="I302" s="126"/>
      <c r="J302" s="32"/>
      <c r="K302" s="16" t="str">
        <f t="shared" si="74"/>
        <v/>
      </c>
      <c r="L302" s="37"/>
      <c r="M302" s="37"/>
      <c r="N302" s="37"/>
      <c r="O302" s="37"/>
      <c r="P302" s="16" t="str">
        <f t="shared" si="83"/>
        <v/>
      </c>
      <c r="Q302" s="37"/>
      <c r="R302" s="37"/>
      <c r="S302" s="37"/>
      <c r="T302" s="37"/>
      <c r="U302" s="16">
        <f t="shared" si="75"/>
        <v>0</v>
      </c>
      <c r="V302" s="16" t="str">
        <f t="shared" si="76"/>
        <v/>
      </c>
      <c r="W302" s="16" t="str">
        <f>IF(E302="Y",PAR!$C$12,IF(J302="","",IF(J302&lt;11,PAR!$C$6,IF(J302&lt;50,PAR!$C$7,IF(J302&lt;60,PAR!$C$8,IF(J302&lt;70,PAR!$C$9,IF(J302&lt;80,PAR!$C$10,IF(J302&gt;79,PAR!$C$11,0))))))))</f>
        <v/>
      </c>
      <c r="X302" s="16" t="str">
        <f t="shared" si="77"/>
        <v/>
      </c>
      <c r="Y302" s="22" t="str">
        <f t="shared" si="78"/>
        <v/>
      </c>
      <c r="Z302" s="100" t="str">
        <f>IF(IFERROR(IF(E302="Y",(W302*(X302-PAR!$C$15)*Y302)*C302,IF(AA302&lt;&gt;"","See Comment",IFERROR(W302*X302*Y302*C302,"Fill all blue cells"))),"Fill all blue cells")&lt;0,0,(IFERROR(IF(E302="Y",(W302*(X302-PAR!$C$15)*Y302)*C302,IF(AA302&lt;&gt;"","See Comment",IFERROR(W302*X302*Y302*C302,"Fill all blue cells"))),"Fill all blue cells")))</f>
        <v>See Comment</v>
      </c>
      <c r="AA302"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302" s="116" t="str">
        <f t="shared" si="85"/>
        <v/>
      </c>
      <c r="AC302" s="20" t="str">
        <f>IF(AND(E302="Y",D302&lt;PAR!C303),"Non bus miles are less than the minumum of 10 (see column D)",IF(AND(E302="Y",F302&lt;&gt;""),"Non Bus Miles",""))</f>
        <v/>
      </c>
      <c r="AD302" s="20" t="str">
        <f t="shared" si="86"/>
        <v/>
      </c>
      <c r="AE302" s="20" t="str">
        <f t="shared" si="79"/>
        <v>Fill Rated Capacity (see column J),</v>
      </c>
      <c r="AF302" s="20" t="str">
        <f t="shared" si="80"/>
        <v/>
      </c>
      <c r="AG302" s="20" t="str">
        <f t="shared" si="81"/>
        <v>Fill reimbursement % for this LE (see column C)</v>
      </c>
      <c r="AH302" s="20" t="str">
        <f t="shared" si="87"/>
        <v>This route has no eligible riders (see columns L:O)</v>
      </c>
      <c r="AI302" s="20" t="str">
        <f t="shared" si="82"/>
        <v>Fill miles per day (see column D)</v>
      </c>
      <c r="AJ302" s="20" t="str">
        <f t="shared" si="88"/>
        <v>Fill number of operating days (see column F)</v>
      </c>
      <c r="AK302" s="20" t="str">
        <f t="shared" si="89"/>
        <v>Fill Non-Bus Miles with Y or N (See column E)</v>
      </c>
      <c r="AL302" s="98" t="s">
        <v>422</v>
      </c>
      <c r="AM302" s="20" t="str">
        <f t="shared" si="90"/>
        <v/>
      </c>
    </row>
    <row r="303" spans="1:39" x14ac:dyDescent="0.75">
      <c r="A303" s="1" t="s">
        <v>388</v>
      </c>
      <c r="B303" s="130"/>
      <c r="C303" s="36"/>
      <c r="D303" s="42"/>
      <c r="E303" s="49"/>
      <c r="F303" s="44"/>
      <c r="G303" s="35"/>
      <c r="H303" s="18" t="s">
        <v>50</v>
      </c>
      <c r="I303" s="125"/>
      <c r="J303" s="35"/>
      <c r="K303" s="29" t="str">
        <f t="shared" si="74"/>
        <v/>
      </c>
      <c r="L303" s="38"/>
      <c r="M303" s="38"/>
      <c r="N303" s="38"/>
      <c r="O303" s="38"/>
      <c r="P303" s="18" t="str">
        <f t="shared" si="83"/>
        <v/>
      </c>
      <c r="Q303" s="38"/>
      <c r="R303" s="38"/>
      <c r="S303" s="38"/>
      <c r="T303" s="38"/>
      <c r="U303" s="29">
        <f t="shared" si="75"/>
        <v>0</v>
      </c>
      <c r="V303" s="29" t="str">
        <f t="shared" si="76"/>
        <v/>
      </c>
      <c r="W303" s="18" t="str">
        <f>IF(E303="Y",PAR!$C$12,IF(J303="","",IF(J303&lt;11,PAR!$C$6,IF(J303&lt;50,PAR!$C$7,IF(J303&lt;60,PAR!$C$8,IF(J303&lt;70,PAR!$C$9,IF(J303&lt;80,PAR!$C$10,IF(J303&gt;79,PAR!$C$11,0))))))))</f>
        <v/>
      </c>
      <c r="X303" s="18" t="str">
        <f t="shared" si="77"/>
        <v/>
      </c>
      <c r="Y303" s="21" t="str">
        <f t="shared" si="78"/>
        <v/>
      </c>
      <c r="Z303" s="100" t="str">
        <f>IF(IFERROR(IF(E303="Y",(W303*(X303-PAR!$C$15)*Y303)*C303,IF(AA303&lt;&gt;"","See Comment",IFERROR(W303*X303*Y303*C303,"Fill all blue cells"))),"Fill all blue cells")&lt;0,0,(IFERROR(IF(E303="Y",(W303*(X303-PAR!$C$15)*Y303)*C303,IF(AA303&lt;&gt;"","See Comment",IFERROR(W303*X303*Y303*C303,"Fill all blue cells"))),"Fill all blue cells")))</f>
        <v>See Comment</v>
      </c>
      <c r="AA303" s="96"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303" s="117" t="str">
        <f t="shared" si="85"/>
        <v/>
      </c>
      <c r="AC303" s="20" t="str">
        <f>IF(AND(E303="Y",D303&lt;PAR!C304),"Non bus miles are less than the minumum of 10 (see column D)",IF(AND(E303="Y",F303&lt;&gt;""),"Non Bus Miles",""))</f>
        <v/>
      </c>
      <c r="AD303" s="20" t="str">
        <f t="shared" si="86"/>
        <v/>
      </c>
      <c r="AE303" s="20" t="str">
        <f t="shared" si="79"/>
        <v>Fill Rated Capacity (see column J),</v>
      </c>
      <c r="AF303" s="20" t="str">
        <f t="shared" si="80"/>
        <v/>
      </c>
      <c r="AG303" s="20" t="str">
        <f t="shared" si="81"/>
        <v>Fill reimbursement % for this LE (see column C)</v>
      </c>
      <c r="AH303" s="20" t="str">
        <f t="shared" si="87"/>
        <v>This route has no eligible riders (see columns L:O)</v>
      </c>
      <c r="AI303" s="20" t="str">
        <f t="shared" si="82"/>
        <v>Fill miles per day (see column D)</v>
      </c>
      <c r="AJ303" s="20" t="str">
        <f t="shared" si="88"/>
        <v>Fill number of operating days (see column F)</v>
      </c>
      <c r="AK303" s="20" t="str">
        <f t="shared" si="89"/>
        <v>Fill Non-Bus Miles with Y or N (See column E)</v>
      </c>
      <c r="AL303" s="98" t="s">
        <v>422</v>
      </c>
      <c r="AM303" s="20" t="str">
        <f t="shared" si="90"/>
        <v/>
      </c>
    </row>
    <row r="304" spans="1:39" x14ac:dyDescent="0.75">
      <c r="B304" s="130"/>
    </row>
  </sheetData>
  <sheetProtection selectLockedCells="1"/>
  <dataConsolidate/>
  <mergeCells count="24">
    <mergeCell ref="D6:H6"/>
    <mergeCell ref="V1:AA1"/>
    <mergeCell ref="V7:Z7"/>
    <mergeCell ref="X2:Z2"/>
    <mergeCell ref="X3:Z3"/>
    <mergeCell ref="X4:Z4"/>
    <mergeCell ref="X5:Z5"/>
    <mergeCell ref="X6:Z6"/>
    <mergeCell ref="Q12:T12"/>
    <mergeCell ref="B1:I1"/>
    <mergeCell ref="L1:T1"/>
    <mergeCell ref="B7:I7"/>
    <mergeCell ref="L7:T7"/>
    <mergeCell ref="L8:P8"/>
    <mergeCell ref="Q8:T8"/>
    <mergeCell ref="N5:S5"/>
    <mergeCell ref="N6:S6"/>
    <mergeCell ref="N2:S2"/>
    <mergeCell ref="N3:S3"/>
    <mergeCell ref="N4:S4"/>
    <mergeCell ref="D2:H2"/>
    <mergeCell ref="D3:H3"/>
    <mergeCell ref="D4:H4"/>
    <mergeCell ref="D5:H5"/>
  </mergeCells>
  <conditionalFormatting sqref="Z14:Z303">
    <cfRule type="containsText" dxfId="2" priority="1" operator="containsText" text="Fill all blue cells">
      <formula>NOT(ISERROR(SEARCH("Fill all blue cells",Z14)))</formula>
    </cfRule>
    <cfRule type="containsText" dxfId="1" priority="2" operator="containsText" text="See Comment">
      <formula>NOT(ISERROR(SEARCH("See Comment",Z14)))</formula>
    </cfRule>
  </conditionalFormatting>
  <printOptions horizontalCentered="1" verticalCentered="1"/>
  <pageMargins left="0.25" right="0.25" top="0.75" bottom="0.75" header="0.3" footer="0.3"/>
  <pageSetup scale="68" pageOrder="overThenDown" orientation="landscape" r:id="rId1"/>
  <headerFooter>
    <oddFooter>&amp;LCurrent Date  &amp;D&amp;COffice of Public Instruction Transportation Budgeting Spreadsheet 
Version 8/25/2015&amp;R&amp;P</oddFooter>
  </headerFooter>
  <colBreaks count="2" manualBreakCount="2">
    <brk id="10" max="63" man="1"/>
    <brk id="21" max="63"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PAR!$E$7:$E$9</xm:f>
          </x14:formula1>
          <xm:sqref>E14:E303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1"/>
  <sheetViews>
    <sheetView topLeftCell="K4" zoomScaleNormal="100" workbookViewId="0">
      <selection activeCell="R13" sqref="R13"/>
    </sheetView>
  </sheetViews>
  <sheetFormatPr defaultColWidth="9.1328125" defaultRowHeight="14.75" x14ac:dyDescent="0.75"/>
  <cols>
    <col min="1" max="1" width="3" bestFit="1" customWidth="1"/>
    <col min="2" max="2" width="18.26953125" customWidth="1"/>
    <col min="3" max="3" width="16.54296875" customWidth="1"/>
    <col min="4" max="4" width="11.40625" customWidth="1"/>
    <col min="5" max="7" width="11.26953125" bestFit="1" customWidth="1"/>
    <col min="8" max="8" width="11.40625" bestFit="1" customWidth="1"/>
    <col min="9" max="9" width="13.40625" customWidth="1"/>
    <col min="10" max="11" width="11.26953125" customWidth="1"/>
    <col min="12" max="13" width="14.7265625" customWidth="1"/>
    <col min="14" max="14" width="16.54296875" customWidth="1"/>
    <col min="15" max="15" width="20.31640625" bestFit="1" customWidth="1"/>
    <col min="16" max="16" width="20" bestFit="1" customWidth="1"/>
    <col min="17" max="17" width="54.40625" customWidth="1"/>
    <col min="18" max="18" width="7.26953125" customWidth="1"/>
    <col min="19" max="19" width="26" hidden="1" customWidth="1"/>
    <col min="20" max="20" width="43.7265625" hidden="1" customWidth="1"/>
    <col min="21" max="21" width="31.40625" hidden="1" customWidth="1"/>
    <col min="22" max="22" width="34.40625" hidden="1" customWidth="1"/>
    <col min="23" max="23" width="28.7265625" hidden="1" customWidth="1"/>
    <col min="24" max="24" width="27.40625" hidden="1" customWidth="1"/>
    <col min="25" max="25" width="28.54296875" hidden="1" customWidth="1"/>
    <col min="26" max="27" width="27.26953125" hidden="1" customWidth="1"/>
    <col min="28" max="28" width="22.26953125" hidden="1" customWidth="1"/>
    <col min="29" max="29" width="34.26953125" hidden="1" customWidth="1"/>
    <col min="30" max="30" width="47.40625" hidden="1" customWidth="1"/>
    <col min="31" max="31" width="15" hidden="1" customWidth="1"/>
    <col min="32" max="32" width="16.7265625" hidden="1" customWidth="1"/>
    <col min="33" max="33" width="20" hidden="1" customWidth="1"/>
    <col min="34" max="34" width="28.26953125" style="65" hidden="1" customWidth="1"/>
    <col min="35" max="36" width="24.86328125" hidden="1" customWidth="1"/>
    <col min="37" max="43" width="20" hidden="1" customWidth="1"/>
    <col min="44" max="44" width="13.7265625" hidden="1" customWidth="1"/>
  </cols>
  <sheetData>
    <row r="1" spans="1:44" ht="18.5" x14ac:dyDescent="0.9">
      <c r="B1" s="136" t="s">
        <v>488</v>
      </c>
      <c r="C1" s="152"/>
      <c r="D1" s="152"/>
      <c r="E1" s="152"/>
      <c r="F1" s="152"/>
      <c r="G1" s="152"/>
      <c r="H1" s="152"/>
      <c r="I1" s="152"/>
      <c r="J1" s="152"/>
      <c r="K1" s="152"/>
      <c r="L1" s="152"/>
      <c r="M1" s="152"/>
      <c r="N1" s="136" t="s">
        <v>487</v>
      </c>
      <c r="O1" s="137"/>
      <c r="P1" s="137"/>
      <c r="Q1" s="137"/>
      <c r="R1" s="25"/>
      <c r="S1" s="24"/>
    </row>
    <row r="2" spans="1:44" x14ac:dyDescent="0.75">
      <c r="D2" s="1" t="s">
        <v>49</v>
      </c>
      <c r="E2" s="155" t="str">
        <f>IF('Bus Routes'!D2="","",'Bus Routes'!D2)</f>
        <v/>
      </c>
      <c r="F2" s="155"/>
      <c r="G2" s="155"/>
      <c r="H2" s="155"/>
      <c r="I2" s="155"/>
      <c r="O2" s="1" t="s">
        <v>49</v>
      </c>
      <c r="P2" s="155" t="str">
        <f>IF('Bus Routes'!D2="","",'Bus Routes'!D2)</f>
        <v/>
      </c>
      <c r="Q2" s="155"/>
      <c r="R2" s="66"/>
    </row>
    <row r="3" spans="1:44" x14ac:dyDescent="0.75">
      <c r="D3" s="1" t="s">
        <v>51</v>
      </c>
      <c r="E3" s="155" t="str">
        <f>IF('Bus Routes'!D3="","",'Bus Routes'!D3)</f>
        <v/>
      </c>
      <c r="F3" s="155"/>
      <c r="G3" s="155"/>
      <c r="H3" s="155"/>
      <c r="I3" s="155"/>
      <c r="O3" s="1" t="s">
        <v>51</v>
      </c>
      <c r="P3" s="147" t="str">
        <f>IF('Bus Routes'!D3="","",'Bus Routes'!D3)</f>
        <v/>
      </c>
      <c r="Q3" s="150"/>
      <c r="R3" s="66"/>
    </row>
    <row r="4" spans="1:44" x14ac:dyDescent="0.75">
      <c r="D4" s="1" t="s">
        <v>52</v>
      </c>
      <c r="E4" s="155" t="str">
        <f>IF('Bus Routes'!D4="","",'Bus Routes'!D4)</f>
        <v/>
      </c>
      <c r="F4" s="155"/>
      <c r="G4" s="155"/>
      <c r="H4" s="155"/>
      <c r="I4" s="155"/>
      <c r="O4" s="1" t="s">
        <v>52</v>
      </c>
      <c r="P4" s="147" t="str">
        <f>IF('Bus Routes'!D4="","",'Bus Routes'!D4)</f>
        <v/>
      </c>
      <c r="Q4" s="150"/>
      <c r="R4" s="66"/>
    </row>
    <row r="5" spans="1:44" x14ac:dyDescent="0.75">
      <c r="D5" s="1" t="s">
        <v>389</v>
      </c>
      <c r="E5" s="155" t="str">
        <f>IF('Bus Routes'!D5="","",'Bus Routes'!D5)</f>
        <v/>
      </c>
      <c r="F5" s="155"/>
      <c r="G5" s="155"/>
      <c r="H5" s="155"/>
      <c r="I5" s="155"/>
      <c r="O5" s="1" t="s">
        <v>389</v>
      </c>
      <c r="P5" s="147" t="str">
        <f>IF('Bus Routes'!D5="","",'Bus Routes'!D5)</f>
        <v/>
      </c>
      <c r="Q5" s="150"/>
      <c r="R5" s="66"/>
    </row>
    <row r="6" spans="1:44" ht="15.5" thickBot="1" x14ac:dyDescent="0.9">
      <c r="D6" s="1" t="s">
        <v>390</v>
      </c>
      <c r="E6" s="155" t="str">
        <f>IF('Bus Routes'!D6="","",'Bus Routes'!D6)</f>
        <v/>
      </c>
      <c r="F6" s="155"/>
      <c r="G6" s="155"/>
      <c r="H6" s="155"/>
      <c r="I6" s="155"/>
      <c r="O6" s="1" t="s">
        <v>390</v>
      </c>
      <c r="P6" s="147" t="str">
        <f>IF('Bus Routes'!D6="","",'Bus Routes'!D6)</f>
        <v/>
      </c>
      <c r="Q6" s="150"/>
      <c r="R6" s="66"/>
    </row>
    <row r="7" spans="1:44" ht="16.75" thickBot="1" x14ac:dyDescent="0.95">
      <c r="B7" s="113" t="s">
        <v>587</v>
      </c>
      <c r="C7" s="112"/>
      <c r="D7" s="25"/>
      <c r="E7" s="25"/>
      <c r="F7" s="25"/>
      <c r="G7" s="25"/>
      <c r="H7" s="25"/>
      <c r="I7" s="25"/>
      <c r="J7" s="25"/>
      <c r="K7" s="23"/>
    </row>
    <row r="8" spans="1:44" ht="16" x14ac:dyDescent="0.8">
      <c r="B8" s="67"/>
      <c r="C8" s="68"/>
      <c r="D8" s="69"/>
      <c r="E8" s="69"/>
      <c r="F8" s="69"/>
      <c r="G8" s="69"/>
      <c r="H8" s="69" t="s">
        <v>423</v>
      </c>
      <c r="I8" s="69"/>
      <c r="J8" s="141" t="s">
        <v>424</v>
      </c>
      <c r="K8" s="142"/>
      <c r="L8" s="144" t="s">
        <v>461</v>
      </c>
      <c r="M8" s="145"/>
      <c r="N8" s="67"/>
      <c r="O8" s="68"/>
      <c r="P8" s="70"/>
      <c r="Q8" s="70"/>
    </row>
    <row r="9" spans="1:44" x14ac:dyDescent="0.75">
      <c r="B9" s="153" t="s">
        <v>459</v>
      </c>
      <c r="C9" s="154"/>
      <c r="D9" s="71" t="s">
        <v>68</v>
      </c>
      <c r="E9" s="71" t="s">
        <v>425</v>
      </c>
      <c r="F9" s="71" t="s">
        <v>426</v>
      </c>
      <c r="G9" s="71" t="s">
        <v>427</v>
      </c>
      <c r="H9" s="71" t="s">
        <v>428</v>
      </c>
      <c r="I9" s="71" t="s">
        <v>429</v>
      </c>
      <c r="J9" s="69" t="s">
        <v>430</v>
      </c>
      <c r="K9" s="69" t="s">
        <v>430</v>
      </c>
      <c r="L9" s="69" t="s">
        <v>431</v>
      </c>
      <c r="M9" s="69" t="s">
        <v>431</v>
      </c>
      <c r="N9" s="153" t="s">
        <v>433</v>
      </c>
      <c r="O9" s="154"/>
      <c r="P9" s="71" t="s">
        <v>434</v>
      </c>
      <c r="Q9" s="71"/>
      <c r="R9" s="25"/>
    </row>
    <row r="10" spans="1:44" x14ac:dyDescent="0.75">
      <c r="B10" s="69" t="s">
        <v>435</v>
      </c>
      <c r="C10" s="69" t="s">
        <v>436</v>
      </c>
      <c r="D10" s="71" t="s">
        <v>437</v>
      </c>
      <c r="E10" s="71" t="s">
        <v>438</v>
      </c>
      <c r="F10" s="71" t="s">
        <v>439</v>
      </c>
      <c r="G10" s="71" t="s">
        <v>460</v>
      </c>
      <c r="H10" s="71" t="s">
        <v>440</v>
      </c>
      <c r="I10" s="71" t="s">
        <v>441</v>
      </c>
      <c r="J10" s="71" t="s">
        <v>432</v>
      </c>
      <c r="K10" s="71" t="s">
        <v>432</v>
      </c>
      <c r="L10" s="71" t="s">
        <v>442</v>
      </c>
      <c r="M10" s="71" t="s">
        <v>442</v>
      </c>
      <c r="N10" s="69" t="s">
        <v>435</v>
      </c>
      <c r="O10" s="69" t="s">
        <v>436</v>
      </c>
      <c r="P10" s="71" t="s">
        <v>54</v>
      </c>
      <c r="Q10" s="71"/>
      <c r="R10" s="25"/>
      <c r="AE10" s="72" t="s">
        <v>471</v>
      </c>
      <c r="AF10" s="72" t="s">
        <v>471</v>
      </c>
      <c r="AG10" s="73" t="s">
        <v>481</v>
      </c>
      <c r="AH10" s="74" t="s">
        <v>471</v>
      </c>
      <c r="AI10" s="75" t="s">
        <v>471</v>
      </c>
      <c r="AJ10" s="75" t="s">
        <v>471</v>
      </c>
      <c r="AK10" s="76" t="s">
        <v>483</v>
      </c>
      <c r="AL10" s="77" t="s">
        <v>471</v>
      </c>
      <c r="AM10" s="77"/>
      <c r="AN10" s="77" t="s">
        <v>486</v>
      </c>
      <c r="AO10" s="102" t="s">
        <v>471</v>
      </c>
      <c r="AP10" s="102" t="s">
        <v>471</v>
      </c>
      <c r="AQ10" s="102" t="s">
        <v>493</v>
      </c>
      <c r="AR10" s="78" t="s">
        <v>471</v>
      </c>
    </row>
    <row r="11" spans="1:44" ht="15.5" thickBot="1" x14ac:dyDescent="0.9">
      <c r="B11" s="71" t="s">
        <v>443</v>
      </c>
      <c r="C11" s="71" t="s">
        <v>443</v>
      </c>
      <c r="D11" s="71" t="s">
        <v>444</v>
      </c>
      <c r="E11" s="13" t="s">
        <v>449</v>
      </c>
      <c r="F11" s="13" t="s">
        <v>449</v>
      </c>
      <c r="G11" s="13" t="s">
        <v>449</v>
      </c>
      <c r="H11" s="13" t="s">
        <v>449</v>
      </c>
      <c r="I11" s="71" t="s">
        <v>445</v>
      </c>
      <c r="J11" s="71" t="s">
        <v>80</v>
      </c>
      <c r="K11" s="71" t="s">
        <v>446</v>
      </c>
      <c r="L11" s="71" t="s">
        <v>80</v>
      </c>
      <c r="M11" s="71" t="s">
        <v>446</v>
      </c>
      <c r="N11" s="71" t="s">
        <v>443</v>
      </c>
      <c r="O11" s="71" t="s">
        <v>443</v>
      </c>
      <c r="P11" s="71" t="s">
        <v>447</v>
      </c>
      <c r="Q11" s="71" t="s">
        <v>396</v>
      </c>
      <c r="R11" s="25"/>
      <c r="S11" t="s">
        <v>462</v>
      </c>
      <c r="T11" t="s">
        <v>474</v>
      </c>
      <c r="U11" t="s">
        <v>463</v>
      </c>
      <c r="V11" t="s">
        <v>464</v>
      </c>
      <c r="W11" t="s">
        <v>465</v>
      </c>
      <c r="X11" t="s">
        <v>466</v>
      </c>
      <c r="Y11" t="s">
        <v>467</v>
      </c>
      <c r="Z11" t="s">
        <v>468</v>
      </c>
      <c r="AA11" t="s">
        <v>470</v>
      </c>
      <c r="AB11" t="s">
        <v>469</v>
      </c>
      <c r="AC11" t="s">
        <v>472</v>
      </c>
      <c r="AD11" t="s">
        <v>473</v>
      </c>
      <c r="AE11" s="72" t="s">
        <v>475</v>
      </c>
      <c r="AF11" s="72" t="s">
        <v>476</v>
      </c>
      <c r="AG11" s="73" t="s">
        <v>482</v>
      </c>
      <c r="AH11" s="74" t="s">
        <v>478</v>
      </c>
      <c r="AI11" s="75" t="s">
        <v>479</v>
      </c>
      <c r="AJ11" s="75" t="s">
        <v>480</v>
      </c>
      <c r="AK11" s="76" t="s">
        <v>482</v>
      </c>
      <c r="AL11" s="79" t="s">
        <v>484</v>
      </c>
      <c r="AM11" s="79" t="s">
        <v>485</v>
      </c>
      <c r="AN11" s="77" t="s">
        <v>482</v>
      </c>
      <c r="AO11" s="102" t="s">
        <v>491</v>
      </c>
      <c r="AP11" s="102" t="s">
        <v>492</v>
      </c>
      <c r="AQ11" s="102" t="s">
        <v>482</v>
      </c>
      <c r="AR11" s="78" t="s">
        <v>477</v>
      </c>
    </row>
    <row r="12" spans="1:44" ht="15.5" thickBot="1" x14ac:dyDescent="0.9">
      <c r="B12" s="80"/>
      <c r="C12" s="54" t="s">
        <v>490</v>
      </c>
      <c r="D12" s="55">
        <f>SUM(D13:D41)</f>
        <v>0</v>
      </c>
      <c r="E12" s="81"/>
      <c r="F12" s="81"/>
      <c r="G12" s="81"/>
      <c r="H12" s="82" t="s">
        <v>98</v>
      </c>
      <c r="I12" s="56">
        <f>SUM(I13:I41)</f>
        <v>0</v>
      </c>
      <c r="J12" s="56">
        <f t="shared" ref="J12:M12" si="0">SUM(J13:J41)</f>
        <v>0</v>
      </c>
      <c r="K12" s="56">
        <f t="shared" si="0"/>
        <v>0</v>
      </c>
      <c r="L12" s="56">
        <f t="shared" si="0"/>
        <v>0</v>
      </c>
      <c r="M12" s="55">
        <f t="shared" si="0"/>
        <v>0</v>
      </c>
      <c r="N12" s="83"/>
      <c r="O12" s="54" t="s">
        <v>489</v>
      </c>
      <c r="P12" s="84">
        <f>SUM(P13:P41)</f>
        <v>0</v>
      </c>
      <c r="Q12" s="85"/>
      <c r="R12" s="25"/>
      <c r="AE12" s="72"/>
      <c r="AF12" s="72"/>
      <c r="AG12" s="73"/>
      <c r="AH12" s="74"/>
      <c r="AI12" s="75"/>
      <c r="AJ12" s="75"/>
      <c r="AK12" s="76"/>
      <c r="AL12" s="79"/>
      <c r="AM12" s="79"/>
      <c r="AN12" s="77"/>
      <c r="AO12" s="102"/>
      <c r="AP12" s="102"/>
      <c r="AQ12" s="102"/>
      <c r="AR12" s="78"/>
    </row>
    <row r="13" spans="1:44" x14ac:dyDescent="0.75">
      <c r="A13" s="86" t="s">
        <v>99</v>
      </c>
      <c r="B13" s="32"/>
      <c r="C13" s="32"/>
      <c r="D13" s="32"/>
      <c r="E13" s="37"/>
      <c r="F13" s="37"/>
      <c r="G13" s="37"/>
      <c r="H13" s="37"/>
      <c r="I13" s="32"/>
      <c r="J13" s="51">
        <v>0</v>
      </c>
      <c r="K13" s="51">
        <v>0</v>
      </c>
      <c r="L13" s="51">
        <v>0</v>
      </c>
      <c r="M13" s="51">
        <v>0</v>
      </c>
      <c r="N13" s="16" t="s">
        <v>50</v>
      </c>
      <c r="O13" s="16"/>
      <c r="P13" s="114" t="str">
        <f>IF(Q13&lt;&gt;"","See Comment",IF(AK13&gt;0,AK13,IF(AH13&gt;0,AH13,IF(AQ13&gt;0,AQ13,AG13))))</f>
        <v>See Comment</v>
      </c>
      <c r="Q13" s="95" t="str">
        <f t="shared" ref="Q13:Q41" si="1">IF(AND(S13="",T13="",U13="",V13="",W13="",X13="",Y13="",Z13="",AA13="",AB13="",AC13="",T13="",AD13=""),"",S13&amp;""&amp;T13&amp;""&amp;U13&amp;""&amp;V13&amp;""&amp;W13&amp;""&amp;X13&amp;""&amp;Y13&amp;""&amp;Z13&amp;""&amp;AA13&amp;""&amp;AB13&amp;""&amp;AC13&amp;""&amp;T13&amp;""&amp;AD13)</f>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3" s="87" t="s">
        <v>422</v>
      </c>
      <c r="S13" s="20" t="str">
        <f t="shared" ref="S13:S41" si="2">IF(OR(M13&gt;2,L13&gt;2),"Trips cannot be more than 2 (see column L or M), ","")</f>
        <v/>
      </c>
      <c r="T13" s="20" t="str">
        <f t="shared" ref="T13:T41" si="3">IF(AND(H13="Y",OR(K13&gt;0,M13&gt;0)),"Don't fill home to bus stop if student has an IEP, ","")</f>
        <v/>
      </c>
      <c r="U13" s="20" t="str">
        <f t="shared" ref="U13:U41" si="4">IF(OR(D13="",D13=0),"No Pupils Entered (See column D), ","")</f>
        <v xml:space="preserve">No Pupils Entered (See column D), </v>
      </c>
      <c r="V13" s="20" t="str">
        <f t="shared" ref="V13:V41" si="5">IF(AND(OR(L13="",L13=0),OR(M13="",M13=0)),"No Trips Entered (See column L or M), ","")</f>
        <v xml:space="preserve">No Trips Entered (See column L or M), </v>
      </c>
      <c r="W13" s="20" t="str">
        <f t="shared" ref="W13:W41" si="6">IF(OR(E13="Y",E13="N"),"","Enter Y or N for isolation status, ")</f>
        <v xml:space="preserve">Enter Y or N for isolation status, </v>
      </c>
      <c r="X13" s="20" t="str">
        <f t="shared" ref="X13:X41" si="7">IF(OR(F13="Y",F13="N"),"","Enter Y or N for room &amp; board, ")</f>
        <v xml:space="preserve">Enter Y or N for room &amp; board, </v>
      </c>
      <c r="Y13" s="20" t="str">
        <f t="shared" ref="Y13:Y41" si="8">IF(OR(G13="Y",G13="N"),"","Enter Y or N for shared funding, ")</f>
        <v xml:space="preserve">Enter Y or N for shared funding, </v>
      </c>
      <c r="Z13" s="20" t="str">
        <f t="shared" ref="Z13:Z41" si="9">IF(OR(H13="Y",H13="N"),"","Enter Y or N for SPED with IEP, ")</f>
        <v xml:space="preserve">Enter Y or N for SPED with IEP, </v>
      </c>
      <c r="AA13" s="20" t="str">
        <f t="shared" ref="AA13:AA41" si="10">IF(OR(I13="",I13=0),"No days entered (see column I), ","")</f>
        <v xml:space="preserve">No days entered (see column I), </v>
      </c>
      <c r="AB13" s="20" t="str">
        <f t="shared" ref="AB13:AB41" si="11">IF(I13&gt;180,"Days cannot exceed 180 (see column I), ","")</f>
        <v/>
      </c>
      <c r="AC13" s="20" t="str">
        <f>IF(AND(OR(J13="",J13=0),OR(K13="",K13=0)),"No Miles Entered (See column J or K), ","")</f>
        <v xml:space="preserve">No Miles Entered (See column J or K), </v>
      </c>
      <c r="AD13" s="20" t="str">
        <f t="shared" ref="AD13:AD41" si="12">IF(AND(E13="Y",F13="Y"),"Isolation and room &amp; board cannot both be claimed, ","")</f>
        <v/>
      </c>
      <c r="AE13">
        <f>IF(((J13*L13)-(L13*PAR!$C$29))*PAR!$C$25*I13&gt;AR13,AR13,((J13*L13)-(L13*PAR!$C$29))*PAR!$C$25*I13)</f>
        <v>0</v>
      </c>
      <c r="AF13">
        <f>IF(((K13*M13)-(M13*PAR!$C$29))*PAR!$C$25*I13&gt;AR13,AR13,((K13*M13)-(M13*PAR!$C$29))*PAR!$C$25*I13)</f>
        <v>0</v>
      </c>
      <c r="AG13" s="53">
        <f>ROUND(IF(IF(AND(AE13=0,AF13=0),0,IF(AE13=0,AF13,IF(AF13=0,AE13,MINA(AE13,AF13))))&lt;0,0,IF(AND(AE13=0,AF13=0),0,IF(AE13=0,AF13,IF(AF13=0,AE13,MINA(AE13,AF13))))),2)</f>
        <v>0</v>
      </c>
      <c r="AH13" s="88">
        <f>ROUND(IF(AND(H13="Y",J13&lt;=PAR!$C$29),PAR!$C$25*I13,IF(H13="N",0,AE13)),2)</f>
        <v>0</v>
      </c>
      <c r="AI13" s="89">
        <f>IF(E13="Y",((J13*L13)-(L13*PAR!$C$29))*PAR!$C$25*PAR!$C$27*I13,0)</f>
        <v>0</v>
      </c>
      <c r="AJ13" s="89">
        <f>IF(E13="Y",((K13*M13)-(M13*PAR!$C$29))*ROUND(PAR!$C$25*PAR!$C$27,2)*I13,0)</f>
        <v>0</v>
      </c>
      <c r="AK13" s="90">
        <f>ROUND(IF(AND(AI13=0,AJ13=0),0,IF(AI13=0,AJ13,IF(AJ13=0,AI13,MINA(AI13,AJ13)))),2)</f>
        <v>0</v>
      </c>
      <c r="AL13">
        <f>IF(F13="Y",((J13*L13)-(L13*PAR!$C$29))*PAR!$C$25*PAR!$C$27*I13,0)</f>
        <v>0</v>
      </c>
      <c r="AM13">
        <f>IF(F13="Y",((K13*M13)-(M13*PAR!$C$29))*PAR!$C$25*PAR!$C$27*I13,0)</f>
        <v>0</v>
      </c>
      <c r="AN13" s="91">
        <f>ROUND(IF(AND(AL13=0,AM13=0),0,IF(AL13=0,AM13,IF(AM13=0,AL13,MINA(AL13,AM13)))),2)</f>
        <v>0</v>
      </c>
      <c r="AO13">
        <f>IF(G13="Y",AE13/2,0)</f>
        <v>0</v>
      </c>
      <c r="AP13">
        <f>IF(G13="Y",AF13/2,0)</f>
        <v>0</v>
      </c>
      <c r="AQ13" s="103">
        <f>ROUND(IF(AND(AO13=0,AP13=0),0,IF(AO13=0,AP13,IF(AP13=0,AO13,MINA(AO13,AP13)))),2)</f>
        <v>0</v>
      </c>
      <c r="AR13">
        <f>IF(D13=1,PAR!$C$22,IF(D13&gt;1,PAR!$C$22+(D13-1)*PAR!$C$23,0))*I13</f>
        <v>0</v>
      </c>
    </row>
    <row r="14" spans="1:44" x14ac:dyDescent="0.75">
      <c r="A14" s="86" t="s">
        <v>100</v>
      </c>
      <c r="B14" s="35"/>
      <c r="C14" s="35"/>
      <c r="D14" s="35"/>
      <c r="E14" s="38"/>
      <c r="F14" s="38"/>
      <c r="G14" s="38"/>
      <c r="H14" s="38"/>
      <c r="I14" s="35"/>
      <c r="J14" s="52">
        <v>0</v>
      </c>
      <c r="K14" s="52">
        <v>0</v>
      </c>
      <c r="L14" s="52">
        <v>0</v>
      </c>
      <c r="M14" s="52">
        <v>0</v>
      </c>
      <c r="N14" s="18" t="s">
        <v>50</v>
      </c>
      <c r="O14" s="18" t="s">
        <v>50</v>
      </c>
      <c r="P14" s="114" t="str">
        <f t="shared" ref="P14:P41" si="13">IF(Q14&lt;&gt;"","See Comment",IF(AK14&gt;0,AK14,IF(AH14&gt;0,AH14,IF(AQ14&gt;0,AQ14,AG14))))</f>
        <v>See Comment</v>
      </c>
      <c r="Q14"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4" s="87" t="s">
        <v>422</v>
      </c>
      <c r="S14" s="20" t="str">
        <f t="shared" si="2"/>
        <v/>
      </c>
      <c r="T14" s="20" t="str">
        <f t="shared" si="3"/>
        <v/>
      </c>
      <c r="U14" s="20" t="str">
        <f t="shared" si="4"/>
        <v xml:space="preserve">No Pupils Entered (See column D), </v>
      </c>
      <c r="V14" s="20" t="str">
        <f t="shared" si="5"/>
        <v xml:space="preserve">No Trips Entered (See column L or M), </v>
      </c>
      <c r="W14" s="20" t="str">
        <f t="shared" si="6"/>
        <v xml:space="preserve">Enter Y or N for isolation status, </v>
      </c>
      <c r="X14" s="20" t="str">
        <f t="shared" si="7"/>
        <v xml:space="preserve">Enter Y or N for room &amp; board, </v>
      </c>
      <c r="Y14" s="20" t="str">
        <f t="shared" si="8"/>
        <v xml:space="preserve">Enter Y or N for shared funding, </v>
      </c>
      <c r="Z14" s="20" t="str">
        <f t="shared" si="9"/>
        <v xml:space="preserve">Enter Y or N for SPED with IEP, </v>
      </c>
      <c r="AA14" s="20" t="str">
        <f t="shared" si="10"/>
        <v xml:space="preserve">No days entered (see column I), </v>
      </c>
      <c r="AB14" s="20" t="str">
        <f t="shared" si="11"/>
        <v/>
      </c>
      <c r="AC14" s="20" t="str">
        <f t="shared" ref="AC14:AC41" si="14">IF(AND(OR(J14="",J14=0),OR(K14="",K14=0)),"No Miles Entered (See column J or K), ","")</f>
        <v xml:space="preserve">No Miles Entered (See column J or K), </v>
      </c>
      <c r="AD14" s="20" t="str">
        <f t="shared" si="12"/>
        <v/>
      </c>
      <c r="AE14">
        <f>IF(((J14*L14)-(L14*PAR!$C$29))*PAR!$C$25*I14&gt;AR14,AR14,((J14*L14)-(L14*PAR!$C$29))*PAR!$C$25*I14)</f>
        <v>0</v>
      </c>
      <c r="AF14">
        <f>IF(((K14*M14)-(M14*PAR!$C$29))*PAR!$C$25*I14&gt;AR14,AR14,((K14*M14)-(M14*PAR!$C$29))*PAR!$C$25*I14)</f>
        <v>0</v>
      </c>
      <c r="AG14" s="53">
        <f t="shared" ref="AG14:AG41" si="15">ROUND(IF(IF(AND(AE14=0,AF14=0),0,IF(AE14=0,AF14,IF(AF14=0,AE14,MINA(AE14,AF14))))&lt;0,0,IF(AND(AE14=0,AF14=0),0,IF(AE14=0,AF14,IF(AF14=0,AE14,MINA(AE14,AF14))))),2)</f>
        <v>0</v>
      </c>
      <c r="AH14" s="88">
        <f>ROUND(IF(AND(H14="Y",J14&lt;=PAR!$C$29),PAR!$C$25*I14,IF(H14="N",0,AE14)),2)</f>
        <v>0</v>
      </c>
      <c r="AI14" s="89">
        <f>IF(E14="Y",((J14*L14)-(L14*PAR!$C$29))*PAR!$C$25*PAR!$C$27*I14,0)</f>
        <v>0</v>
      </c>
      <c r="AJ14" s="89">
        <f>IF(E14="Y",((K14*M14)-(M14*PAR!$C$29))*ROUND(PAR!$C$25*PAR!$C$27,2)*I14,0)</f>
        <v>0</v>
      </c>
      <c r="AK14" s="90">
        <f t="shared" ref="AK14:AK41" si="16">ROUND(IF(AND(AI14=0,AJ14=0),0,IF(AI14=0,AJ14,IF(AJ14=0,AI14,MINA(AI14,AJ14)))),2)</f>
        <v>0</v>
      </c>
      <c r="AL14">
        <f>IF(F14="Y",((J14*L14)-(L14*PAR!$C$29))*PAR!$C$25*PAR!$C$27*I14,0)</f>
        <v>0</v>
      </c>
      <c r="AM14">
        <f>IF(F14="Y",((K14*M14)-(M14*PAR!$C$29))*PAR!$C$25*PAR!$C$27*I14,0)</f>
        <v>0</v>
      </c>
      <c r="AN14" s="91">
        <f t="shared" ref="AN14:AN41" si="17">ROUND(IF(AND(AL14=0,AM14=0),0,IF(AL14=0,AM14,IF(AM14=0,AL14,MINA(AL14,AM14)))),2)</f>
        <v>0</v>
      </c>
      <c r="AO14">
        <f t="shared" ref="AO14:AO41" si="18">IF(G14="Y",AE14/2,0)</f>
        <v>0</v>
      </c>
      <c r="AP14">
        <f t="shared" ref="AP14:AP41" si="19">IF(G14="Y",AF14/2,0)</f>
        <v>0</v>
      </c>
      <c r="AQ14" s="103">
        <f t="shared" ref="AQ14:AQ41" si="20">ROUND(IF(AND(AO14=0,AP14=0),0,IF(AO14=0,AP14,IF(AP14=0,AO14,MINA(AO14,AP14)))),2)</f>
        <v>0</v>
      </c>
      <c r="AR14">
        <f>IF(D14=1,PAR!$C$22,IF(D14&gt;1,PAR!$C$22+(D14-1)*PAR!$C$23,0))*I14</f>
        <v>0</v>
      </c>
    </row>
    <row r="15" spans="1:44" x14ac:dyDescent="0.75">
      <c r="A15" s="86" t="s">
        <v>101</v>
      </c>
      <c r="B15" s="32"/>
      <c r="C15" s="32"/>
      <c r="D15" s="32"/>
      <c r="E15" s="37"/>
      <c r="F15" s="37"/>
      <c r="G15" s="37"/>
      <c r="H15" s="37"/>
      <c r="I15" s="32"/>
      <c r="J15" s="52">
        <v>0</v>
      </c>
      <c r="K15" s="52">
        <v>0</v>
      </c>
      <c r="L15" s="52">
        <v>0</v>
      </c>
      <c r="M15" s="52">
        <v>0</v>
      </c>
      <c r="N15" s="16" t="s">
        <v>50</v>
      </c>
      <c r="O15" s="16" t="s">
        <v>50</v>
      </c>
      <c r="P15" s="114" t="str">
        <f t="shared" si="13"/>
        <v>See Comment</v>
      </c>
      <c r="Q15"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5" s="87">
        <v>1.5</v>
      </c>
      <c r="S15" s="20" t="str">
        <f t="shared" si="2"/>
        <v/>
      </c>
      <c r="T15" s="20" t="str">
        <f t="shared" si="3"/>
        <v/>
      </c>
      <c r="U15" s="20" t="str">
        <f t="shared" si="4"/>
        <v xml:space="preserve">No Pupils Entered (See column D), </v>
      </c>
      <c r="V15" s="20" t="str">
        <f t="shared" si="5"/>
        <v xml:space="preserve">No Trips Entered (See column L or M), </v>
      </c>
      <c r="W15" s="20" t="str">
        <f t="shared" si="6"/>
        <v xml:space="preserve">Enter Y or N for isolation status, </v>
      </c>
      <c r="X15" s="20" t="str">
        <f t="shared" si="7"/>
        <v xml:space="preserve">Enter Y or N for room &amp; board, </v>
      </c>
      <c r="Y15" s="20" t="str">
        <f t="shared" si="8"/>
        <v xml:space="preserve">Enter Y or N for shared funding, </v>
      </c>
      <c r="Z15" s="20" t="str">
        <f t="shared" si="9"/>
        <v xml:space="preserve">Enter Y or N for SPED with IEP, </v>
      </c>
      <c r="AA15" s="20" t="str">
        <f t="shared" si="10"/>
        <v xml:space="preserve">No days entered (see column I), </v>
      </c>
      <c r="AB15" s="20" t="str">
        <f t="shared" si="11"/>
        <v/>
      </c>
      <c r="AC15" s="20" t="str">
        <f t="shared" si="14"/>
        <v xml:space="preserve">No Miles Entered (See column J or K), </v>
      </c>
      <c r="AD15" s="20" t="str">
        <f t="shared" si="12"/>
        <v/>
      </c>
      <c r="AE15">
        <f>IF(((J15*L15)-(L15*PAR!$C$29))*PAR!$C$25*I15&gt;AR15,AR15,((J15*L15)-(L15*PAR!$C$29))*PAR!$C$25*I15)</f>
        <v>0</v>
      </c>
      <c r="AF15">
        <f>IF(((K15*M15)-(M15*PAR!$C$29))*PAR!$C$25*I15&gt;AR15,AR15,((K15*M15)-(M15*PAR!$C$29))*PAR!$C$25*I15)</f>
        <v>0</v>
      </c>
      <c r="AG15" s="53">
        <f t="shared" si="15"/>
        <v>0</v>
      </c>
      <c r="AH15" s="88">
        <f>ROUND(IF(AND(H15="Y",J15&lt;=PAR!$C$29),PAR!$C$25*I15,IF(H15="N",0,AE15)),2)</f>
        <v>0</v>
      </c>
      <c r="AI15" s="89">
        <f>IF(E15="Y",((J15*L15)-(L15*PAR!$C$29))*PAR!$C$25*PAR!$C$27*I15,0)</f>
        <v>0</v>
      </c>
      <c r="AJ15" s="89">
        <f>IF(E15="Y",((K15*M15)-(M15*PAR!$C$29))*ROUND(PAR!$C$25*PAR!$C$27,2)*I15,0)</f>
        <v>0</v>
      </c>
      <c r="AK15" s="90">
        <f t="shared" si="16"/>
        <v>0</v>
      </c>
      <c r="AL15">
        <f>IF(F15="Y",((J15*L15)-(L15*PAR!$C$29))*PAR!$C$25*PAR!$C$27*I15,0)</f>
        <v>0</v>
      </c>
      <c r="AM15">
        <f>IF(F15="Y",((K15*M15)-(M15*PAR!$C$29))*PAR!$C$25*PAR!$C$27*I15,0)</f>
        <v>0</v>
      </c>
      <c r="AN15" s="91">
        <f t="shared" si="17"/>
        <v>0</v>
      </c>
      <c r="AO15">
        <f t="shared" si="18"/>
        <v>0</v>
      </c>
      <c r="AP15">
        <f t="shared" si="19"/>
        <v>0</v>
      </c>
      <c r="AQ15" s="103">
        <f t="shared" si="20"/>
        <v>0</v>
      </c>
      <c r="AR15">
        <f>IF(D15=1,PAR!$C$22,IF(D15&gt;1,PAR!$C$22+(D15-1)*PAR!$C$23,0))*I15</f>
        <v>0</v>
      </c>
    </row>
    <row r="16" spans="1:44" x14ac:dyDescent="0.75">
      <c r="A16" s="86" t="s">
        <v>102</v>
      </c>
      <c r="B16" s="35"/>
      <c r="C16" s="35"/>
      <c r="D16" s="35"/>
      <c r="E16" s="38"/>
      <c r="F16" s="38"/>
      <c r="G16" s="38"/>
      <c r="H16" s="38"/>
      <c r="I16" s="35"/>
      <c r="J16" s="52">
        <v>0</v>
      </c>
      <c r="K16" s="52">
        <v>0</v>
      </c>
      <c r="L16" s="52">
        <v>0</v>
      </c>
      <c r="M16" s="52">
        <v>0</v>
      </c>
      <c r="N16" s="18" t="s">
        <v>50</v>
      </c>
      <c r="O16" s="18" t="s">
        <v>50</v>
      </c>
      <c r="P16" s="114" t="str">
        <f t="shared" si="13"/>
        <v>See Comment</v>
      </c>
      <c r="Q16"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6" s="87" t="s">
        <v>422</v>
      </c>
      <c r="S16" s="20" t="str">
        <f t="shared" si="2"/>
        <v/>
      </c>
      <c r="T16" s="20" t="str">
        <f t="shared" si="3"/>
        <v/>
      </c>
      <c r="U16" s="20" t="str">
        <f t="shared" si="4"/>
        <v xml:space="preserve">No Pupils Entered (See column D), </v>
      </c>
      <c r="V16" s="20" t="str">
        <f t="shared" si="5"/>
        <v xml:space="preserve">No Trips Entered (See column L or M), </v>
      </c>
      <c r="W16" s="20" t="str">
        <f t="shared" si="6"/>
        <v xml:space="preserve">Enter Y or N for isolation status, </v>
      </c>
      <c r="X16" s="20" t="str">
        <f t="shared" si="7"/>
        <v xml:space="preserve">Enter Y or N for room &amp; board, </v>
      </c>
      <c r="Y16" s="20" t="str">
        <f t="shared" si="8"/>
        <v xml:space="preserve">Enter Y or N for shared funding, </v>
      </c>
      <c r="Z16" s="20" t="str">
        <f t="shared" si="9"/>
        <v xml:space="preserve">Enter Y or N for SPED with IEP, </v>
      </c>
      <c r="AA16" s="20" t="str">
        <f t="shared" si="10"/>
        <v xml:space="preserve">No days entered (see column I), </v>
      </c>
      <c r="AB16" s="20" t="str">
        <f t="shared" si="11"/>
        <v/>
      </c>
      <c r="AC16" s="20" t="str">
        <f t="shared" si="14"/>
        <v xml:space="preserve">No Miles Entered (See column J or K), </v>
      </c>
      <c r="AD16" s="20" t="str">
        <f t="shared" si="12"/>
        <v/>
      </c>
      <c r="AE16">
        <f>IF(((J16*L16)-(L16*PAR!$C$29))*PAR!$C$25*I16&gt;AR16,AR16,((J16*L16)-(L16*PAR!$C$29))*PAR!$C$25*I16)</f>
        <v>0</v>
      </c>
      <c r="AF16">
        <f>IF(((K16*M16)-(M16*PAR!$C$29))*PAR!$C$25*I16&gt;AR16,AR16,((K16*M16)-(M16*PAR!$C$29))*PAR!$C$25*I16)</f>
        <v>0</v>
      </c>
      <c r="AG16" s="53">
        <f t="shared" si="15"/>
        <v>0</v>
      </c>
      <c r="AH16" s="88">
        <f>ROUND(IF(AND(H16="Y",J16&lt;=PAR!$C$29),PAR!$C$25*I16,IF(H16="N",0,AE16)),2)</f>
        <v>0</v>
      </c>
      <c r="AI16" s="89">
        <f>IF(E16="Y",((J16*L16)-(L16*PAR!$C$29))*PAR!$C$25*PAR!$C$27*I16,0)</f>
        <v>0</v>
      </c>
      <c r="AJ16" s="89">
        <f>IF(E16="Y",((K16*M16)-(M16*PAR!$C$29))*ROUND(PAR!$C$25*PAR!$C$27,2)*I16,0)</f>
        <v>0</v>
      </c>
      <c r="AK16" s="90">
        <f t="shared" si="16"/>
        <v>0</v>
      </c>
      <c r="AL16">
        <f>IF(F16="Y",((J16*L16)-(L16*PAR!$C$29))*PAR!$C$25*PAR!$C$27*I16,0)</f>
        <v>0</v>
      </c>
      <c r="AM16">
        <f>IF(F16="Y",((K16*M16)-(M16*PAR!$C$29))*PAR!$C$25*PAR!$C$27*I16,0)</f>
        <v>0</v>
      </c>
      <c r="AN16" s="91">
        <f t="shared" si="17"/>
        <v>0</v>
      </c>
      <c r="AO16">
        <f t="shared" si="18"/>
        <v>0</v>
      </c>
      <c r="AP16">
        <f t="shared" si="19"/>
        <v>0</v>
      </c>
      <c r="AQ16" s="103">
        <f t="shared" si="20"/>
        <v>0</v>
      </c>
      <c r="AR16">
        <f>IF(D16=1,PAR!$C$22,IF(D16&gt;1,PAR!$C$22+(D16-1)*PAR!$C$23,0))*I16</f>
        <v>0</v>
      </c>
    </row>
    <row r="17" spans="1:44" x14ac:dyDescent="0.75">
      <c r="A17" s="86" t="s">
        <v>103</v>
      </c>
      <c r="B17" s="32"/>
      <c r="C17" s="32"/>
      <c r="D17" s="32"/>
      <c r="E17" s="37"/>
      <c r="F17" s="37"/>
      <c r="G17" s="37"/>
      <c r="H17" s="37"/>
      <c r="I17" s="32"/>
      <c r="J17" s="52">
        <v>0</v>
      </c>
      <c r="K17" s="52">
        <v>0</v>
      </c>
      <c r="L17" s="52">
        <v>0</v>
      </c>
      <c r="M17" s="52">
        <v>0</v>
      </c>
      <c r="N17" s="16" t="s">
        <v>50</v>
      </c>
      <c r="O17" s="16" t="s">
        <v>50</v>
      </c>
      <c r="P17" s="114" t="str">
        <f t="shared" si="13"/>
        <v>See Comment</v>
      </c>
      <c r="Q17"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7" s="87" t="s">
        <v>422</v>
      </c>
      <c r="S17" s="20" t="str">
        <f t="shared" si="2"/>
        <v/>
      </c>
      <c r="T17" s="20" t="str">
        <f t="shared" si="3"/>
        <v/>
      </c>
      <c r="U17" s="20" t="str">
        <f t="shared" si="4"/>
        <v xml:space="preserve">No Pupils Entered (See column D), </v>
      </c>
      <c r="V17" s="20" t="str">
        <f t="shared" si="5"/>
        <v xml:space="preserve">No Trips Entered (See column L or M), </v>
      </c>
      <c r="W17" s="20" t="str">
        <f t="shared" si="6"/>
        <v xml:space="preserve">Enter Y or N for isolation status, </v>
      </c>
      <c r="X17" s="20" t="str">
        <f t="shared" si="7"/>
        <v xml:space="preserve">Enter Y or N for room &amp; board, </v>
      </c>
      <c r="Y17" s="20" t="str">
        <f t="shared" si="8"/>
        <v xml:space="preserve">Enter Y or N for shared funding, </v>
      </c>
      <c r="Z17" s="20" t="str">
        <f t="shared" si="9"/>
        <v xml:space="preserve">Enter Y or N for SPED with IEP, </v>
      </c>
      <c r="AA17" s="20" t="str">
        <f t="shared" si="10"/>
        <v xml:space="preserve">No days entered (see column I), </v>
      </c>
      <c r="AB17" s="20" t="str">
        <f t="shared" si="11"/>
        <v/>
      </c>
      <c r="AC17" s="20" t="str">
        <f t="shared" si="14"/>
        <v xml:space="preserve">No Miles Entered (See column J or K), </v>
      </c>
      <c r="AD17" s="20" t="str">
        <f t="shared" si="12"/>
        <v/>
      </c>
      <c r="AE17">
        <f>IF(((J17*L17)-(L17*PAR!$C$29))*PAR!$C$25*I17&gt;AR17,AR17,((J17*L17)-(L17*PAR!$C$29))*PAR!$C$25*I17)</f>
        <v>0</v>
      </c>
      <c r="AF17">
        <f>IF(((K17*M17)-(M17*PAR!$C$29))*PAR!$C$25*I17&gt;AR17,AR17,((K17*M17)-(M17*PAR!$C$29))*PAR!$C$25*I17)</f>
        <v>0</v>
      </c>
      <c r="AG17" s="53">
        <f t="shared" si="15"/>
        <v>0</v>
      </c>
      <c r="AH17" s="88">
        <f>ROUND(IF(AND(H17="Y",J17&lt;=PAR!$C$29),PAR!$C$25*I17,IF(H17="N",0,AE17)),2)</f>
        <v>0</v>
      </c>
      <c r="AI17" s="89">
        <f>IF(E17="Y",((J17*L17)-(L17*PAR!$C$29))*PAR!$C$25*PAR!$C$27*I17,0)</f>
        <v>0</v>
      </c>
      <c r="AJ17" s="89">
        <f>IF(E17="Y",((K17*M17)-(M17*PAR!$C$29))*ROUND(PAR!$C$25*PAR!$C$27,2)*I17,0)</f>
        <v>0</v>
      </c>
      <c r="AK17" s="90">
        <f t="shared" si="16"/>
        <v>0</v>
      </c>
      <c r="AL17">
        <f>IF(F17="Y",((J17*L17)-(L17*PAR!$C$29))*PAR!$C$25*PAR!$C$27*I17,0)</f>
        <v>0</v>
      </c>
      <c r="AM17">
        <f>IF(F17="Y",((K17*M17)-(M17*PAR!$C$29))*PAR!$C$25*PAR!$C$27*I17,0)</f>
        <v>0</v>
      </c>
      <c r="AN17" s="91">
        <f t="shared" si="17"/>
        <v>0</v>
      </c>
      <c r="AO17">
        <f t="shared" si="18"/>
        <v>0</v>
      </c>
      <c r="AP17">
        <f t="shared" si="19"/>
        <v>0</v>
      </c>
      <c r="AQ17" s="103">
        <f t="shared" si="20"/>
        <v>0</v>
      </c>
      <c r="AR17">
        <f>IF(D17=1,PAR!$C$22,IF(D17&gt;1,PAR!$C$22+(D17-1)*PAR!$C$23,0))*I17</f>
        <v>0</v>
      </c>
    </row>
    <row r="18" spans="1:44" x14ac:dyDescent="0.75">
      <c r="A18" s="86" t="s">
        <v>104</v>
      </c>
      <c r="B18" s="35"/>
      <c r="C18" s="35"/>
      <c r="D18" s="35"/>
      <c r="E18" s="38"/>
      <c r="F18" s="38"/>
      <c r="G18" s="38"/>
      <c r="H18" s="38"/>
      <c r="I18" s="35"/>
      <c r="J18" s="52">
        <v>0</v>
      </c>
      <c r="K18" s="52">
        <v>0</v>
      </c>
      <c r="L18" s="52">
        <v>0</v>
      </c>
      <c r="M18" s="52">
        <v>0</v>
      </c>
      <c r="N18" s="18" t="s">
        <v>50</v>
      </c>
      <c r="O18" s="18" t="s">
        <v>50</v>
      </c>
      <c r="P18" s="114" t="str">
        <f t="shared" si="13"/>
        <v>See Comment</v>
      </c>
      <c r="Q18"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8" s="87" t="s">
        <v>422</v>
      </c>
      <c r="S18" s="20" t="str">
        <f t="shared" si="2"/>
        <v/>
      </c>
      <c r="T18" s="20" t="str">
        <f t="shared" si="3"/>
        <v/>
      </c>
      <c r="U18" s="20" t="str">
        <f t="shared" si="4"/>
        <v xml:space="preserve">No Pupils Entered (See column D), </v>
      </c>
      <c r="V18" s="20" t="str">
        <f t="shared" si="5"/>
        <v xml:space="preserve">No Trips Entered (See column L or M), </v>
      </c>
      <c r="W18" s="20" t="str">
        <f t="shared" si="6"/>
        <v xml:space="preserve">Enter Y or N for isolation status, </v>
      </c>
      <c r="X18" s="20" t="str">
        <f t="shared" si="7"/>
        <v xml:space="preserve">Enter Y or N for room &amp; board, </v>
      </c>
      <c r="Y18" s="20" t="str">
        <f t="shared" si="8"/>
        <v xml:space="preserve">Enter Y or N for shared funding, </v>
      </c>
      <c r="Z18" s="20" t="str">
        <f t="shared" si="9"/>
        <v xml:space="preserve">Enter Y or N for SPED with IEP, </v>
      </c>
      <c r="AA18" s="20" t="str">
        <f t="shared" si="10"/>
        <v xml:space="preserve">No days entered (see column I), </v>
      </c>
      <c r="AB18" s="20" t="str">
        <f t="shared" si="11"/>
        <v/>
      </c>
      <c r="AC18" s="20" t="str">
        <f t="shared" si="14"/>
        <v xml:space="preserve">No Miles Entered (See column J or K), </v>
      </c>
      <c r="AD18" s="20" t="str">
        <f t="shared" si="12"/>
        <v/>
      </c>
      <c r="AE18">
        <f>IF(((J18*L18)-(L18*PAR!$C$29))*PAR!$C$25*I18&gt;AR18,AR18,((J18*L18)-(L18*PAR!$C$29))*PAR!$C$25*I18)</f>
        <v>0</v>
      </c>
      <c r="AF18">
        <f>IF(((K18*M18)-(M18*PAR!$C$29))*PAR!$C$25*I18&gt;AR18,AR18,((K18*M18)-(M18*PAR!$C$29))*PAR!$C$25*I18)</f>
        <v>0</v>
      </c>
      <c r="AG18" s="53">
        <f t="shared" si="15"/>
        <v>0</v>
      </c>
      <c r="AH18" s="88">
        <f>ROUND(IF(AND(H18="Y",J18&lt;=PAR!$C$29),PAR!$C$25*I18,IF(H18="N",0,AE18)),2)</f>
        <v>0</v>
      </c>
      <c r="AI18" s="89">
        <f>IF(E18="Y",((J18*L18)-(L18*PAR!$C$29))*PAR!$C$25*PAR!$C$27*I18,0)</f>
        <v>0</v>
      </c>
      <c r="AJ18" s="89">
        <f>IF(E18="Y",((K18*M18)-(M18*PAR!$C$29))*ROUND(PAR!$C$25*PAR!$C$27,2)*I18,0)</f>
        <v>0</v>
      </c>
      <c r="AK18" s="90">
        <f t="shared" si="16"/>
        <v>0</v>
      </c>
      <c r="AL18">
        <f>IF(F18="Y",((J18*L18)-(L18*PAR!$C$29))*PAR!$C$25*PAR!$C$27*I18,0)</f>
        <v>0</v>
      </c>
      <c r="AM18">
        <f>IF(F18="Y",((K18*M18)-(M18*PAR!$C$29))*PAR!$C$25*PAR!$C$27*I18,0)</f>
        <v>0</v>
      </c>
      <c r="AN18" s="91">
        <f t="shared" si="17"/>
        <v>0</v>
      </c>
      <c r="AO18">
        <f t="shared" si="18"/>
        <v>0</v>
      </c>
      <c r="AP18">
        <f t="shared" si="19"/>
        <v>0</v>
      </c>
      <c r="AQ18" s="103">
        <f t="shared" si="20"/>
        <v>0</v>
      </c>
      <c r="AR18">
        <f>IF(D18=1,PAR!$C$22,IF(D18&gt;1,PAR!$C$22+(D18-1)*PAR!$C$23,0))*I18</f>
        <v>0</v>
      </c>
    </row>
    <row r="19" spans="1:44" x14ac:dyDescent="0.75">
      <c r="A19" s="86" t="s">
        <v>105</v>
      </c>
      <c r="B19" s="32"/>
      <c r="C19" s="32"/>
      <c r="D19" s="32"/>
      <c r="E19" s="37"/>
      <c r="F19" s="37"/>
      <c r="G19" s="37"/>
      <c r="H19" s="37"/>
      <c r="I19" s="32"/>
      <c r="J19" s="52">
        <v>0</v>
      </c>
      <c r="K19" s="52">
        <v>0</v>
      </c>
      <c r="L19" s="52">
        <v>0</v>
      </c>
      <c r="M19" s="52">
        <v>0</v>
      </c>
      <c r="N19" s="16" t="s">
        <v>50</v>
      </c>
      <c r="O19" s="16" t="s">
        <v>50</v>
      </c>
      <c r="P19" s="114" t="str">
        <f t="shared" si="13"/>
        <v>See Comment</v>
      </c>
      <c r="Q19"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9" s="87" t="s">
        <v>422</v>
      </c>
      <c r="S19" s="20" t="str">
        <f t="shared" si="2"/>
        <v/>
      </c>
      <c r="T19" s="20" t="str">
        <f t="shared" si="3"/>
        <v/>
      </c>
      <c r="U19" s="20" t="str">
        <f t="shared" si="4"/>
        <v xml:space="preserve">No Pupils Entered (See column D), </v>
      </c>
      <c r="V19" s="20" t="str">
        <f t="shared" si="5"/>
        <v xml:space="preserve">No Trips Entered (See column L or M), </v>
      </c>
      <c r="W19" s="20" t="str">
        <f t="shared" si="6"/>
        <v xml:space="preserve">Enter Y or N for isolation status, </v>
      </c>
      <c r="X19" s="20" t="str">
        <f t="shared" si="7"/>
        <v xml:space="preserve">Enter Y or N for room &amp; board, </v>
      </c>
      <c r="Y19" s="20" t="str">
        <f t="shared" si="8"/>
        <v xml:space="preserve">Enter Y or N for shared funding, </v>
      </c>
      <c r="Z19" s="20" t="str">
        <f t="shared" si="9"/>
        <v xml:space="preserve">Enter Y or N for SPED with IEP, </v>
      </c>
      <c r="AA19" s="20" t="str">
        <f t="shared" si="10"/>
        <v xml:space="preserve">No days entered (see column I), </v>
      </c>
      <c r="AB19" s="20" t="str">
        <f t="shared" si="11"/>
        <v/>
      </c>
      <c r="AC19" s="20" t="str">
        <f t="shared" si="14"/>
        <v xml:space="preserve">No Miles Entered (See column J or K), </v>
      </c>
      <c r="AD19" s="20" t="str">
        <f t="shared" si="12"/>
        <v/>
      </c>
      <c r="AE19">
        <f>IF(((J19*L19)-(L19*PAR!$C$29))*PAR!$C$25*I19&gt;AR19,AR19,((J19*L19)-(L19*PAR!$C$29))*PAR!$C$25*I19)</f>
        <v>0</v>
      </c>
      <c r="AF19">
        <f>IF(((K19*M19)-(M19*PAR!$C$29))*PAR!$C$25*I19&gt;AR19,AR19,((K19*M19)-(M19*PAR!$C$29))*PAR!$C$25*I19)</f>
        <v>0</v>
      </c>
      <c r="AG19" s="53">
        <f t="shared" si="15"/>
        <v>0</v>
      </c>
      <c r="AH19" s="88">
        <f>ROUND(IF(AND(H19="Y",J19&lt;=PAR!$C$29),PAR!$C$25*I19,IF(H19="N",0,AE19)),2)</f>
        <v>0</v>
      </c>
      <c r="AI19" s="89">
        <f>IF(E19="Y",((J19*L19)-(L19*PAR!$C$29))*PAR!$C$25*PAR!$C$27*I19,0)</f>
        <v>0</v>
      </c>
      <c r="AJ19" s="89">
        <f>IF(E19="Y",((K19*M19)-(M19*PAR!$C$29))*ROUND(PAR!$C$25*PAR!$C$27,2)*I19,0)</f>
        <v>0</v>
      </c>
      <c r="AK19" s="90">
        <f t="shared" si="16"/>
        <v>0</v>
      </c>
      <c r="AL19">
        <f>IF(F19="Y",((J19*L19)-(L19*PAR!$C$29))*PAR!$C$25*PAR!$C$27*I19,0)</f>
        <v>0</v>
      </c>
      <c r="AM19">
        <f>IF(F19="Y",((K19*M19)-(M19*PAR!$C$29))*PAR!$C$25*PAR!$C$27*I19,0)</f>
        <v>0</v>
      </c>
      <c r="AN19" s="91">
        <f t="shared" si="17"/>
        <v>0</v>
      </c>
      <c r="AO19">
        <f t="shared" si="18"/>
        <v>0</v>
      </c>
      <c r="AP19">
        <f t="shared" si="19"/>
        <v>0</v>
      </c>
      <c r="AQ19" s="103">
        <f t="shared" si="20"/>
        <v>0</v>
      </c>
      <c r="AR19">
        <f>IF(D19=1,PAR!$C$22,IF(D19&gt;1,PAR!$C$22+(D19-1)*PAR!$C$23,0))*I19</f>
        <v>0</v>
      </c>
    </row>
    <row r="20" spans="1:44" x14ac:dyDescent="0.75">
      <c r="A20" s="86" t="s">
        <v>106</v>
      </c>
      <c r="B20" s="35"/>
      <c r="C20" s="35"/>
      <c r="D20" s="35"/>
      <c r="E20" s="38"/>
      <c r="F20" s="38"/>
      <c r="G20" s="38"/>
      <c r="H20" s="38"/>
      <c r="I20" s="35"/>
      <c r="J20" s="52">
        <v>0</v>
      </c>
      <c r="K20" s="52">
        <v>0</v>
      </c>
      <c r="L20" s="52">
        <v>0</v>
      </c>
      <c r="M20" s="52">
        <v>0</v>
      </c>
      <c r="N20" s="18" t="s">
        <v>50</v>
      </c>
      <c r="O20" s="18" t="s">
        <v>50</v>
      </c>
      <c r="P20" s="114" t="str">
        <f t="shared" si="13"/>
        <v>See Comment</v>
      </c>
      <c r="Q20"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0" s="87" t="s">
        <v>422</v>
      </c>
      <c r="S20" s="20" t="str">
        <f t="shared" si="2"/>
        <v/>
      </c>
      <c r="T20" s="20" t="str">
        <f t="shared" si="3"/>
        <v/>
      </c>
      <c r="U20" s="20" t="str">
        <f t="shared" si="4"/>
        <v xml:space="preserve">No Pupils Entered (See column D), </v>
      </c>
      <c r="V20" s="20" t="str">
        <f t="shared" si="5"/>
        <v xml:space="preserve">No Trips Entered (See column L or M), </v>
      </c>
      <c r="W20" s="20" t="str">
        <f t="shared" si="6"/>
        <v xml:space="preserve">Enter Y or N for isolation status, </v>
      </c>
      <c r="X20" s="20" t="str">
        <f t="shared" si="7"/>
        <v xml:space="preserve">Enter Y or N for room &amp; board, </v>
      </c>
      <c r="Y20" s="20" t="str">
        <f t="shared" si="8"/>
        <v xml:space="preserve">Enter Y or N for shared funding, </v>
      </c>
      <c r="Z20" s="20" t="str">
        <f t="shared" si="9"/>
        <v xml:space="preserve">Enter Y or N for SPED with IEP, </v>
      </c>
      <c r="AA20" s="20" t="str">
        <f t="shared" si="10"/>
        <v xml:space="preserve">No days entered (see column I), </v>
      </c>
      <c r="AB20" s="20" t="str">
        <f t="shared" si="11"/>
        <v/>
      </c>
      <c r="AC20" s="20" t="str">
        <f t="shared" si="14"/>
        <v xml:space="preserve">No Miles Entered (See column J or K), </v>
      </c>
      <c r="AD20" s="20" t="str">
        <f t="shared" si="12"/>
        <v/>
      </c>
      <c r="AE20">
        <f>IF(((J20*L20)-(L20*PAR!$C$29))*PAR!$C$25*I20&gt;AR20,AR20,((J20*L20)-(L20*PAR!$C$29))*PAR!$C$25*I20)</f>
        <v>0</v>
      </c>
      <c r="AF20">
        <f>IF(((K20*M20)-(M20*PAR!$C$29))*PAR!$C$25*I20&gt;AR20,AR20,((K20*M20)-(M20*PAR!$C$29))*PAR!$C$25*I20)</f>
        <v>0</v>
      </c>
      <c r="AG20" s="53">
        <f t="shared" si="15"/>
        <v>0</v>
      </c>
      <c r="AH20" s="88">
        <f>ROUND(IF(AND(H20="Y",J20&lt;=PAR!$C$29),PAR!$C$25*I20,IF(H20="N",0,AE20)),2)</f>
        <v>0</v>
      </c>
      <c r="AI20" s="89">
        <f>IF(E20="Y",((J20*L20)-(L20*PAR!$C$29))*PAR!$C$25*PAR!$C$27*I20,0)</f>
        <v>0</v>
      </c>
      <c r="AJ20" s="89">
        <f>IF(E20="Y",((K20*M20)-(M20*PAR!$C$29))*ROUND(PAR!$C$25*PAR!$C$27,2)*I20,0)</f>
        <v>0</v>
      </c>
      <c r="AK20" s="90">
        <f t="shared" si="16"/>
        <v>0</v>
      </c>
      <c r="AL20">
        <f>IF(F20="Y",((J20*L20)-(L20*PAR!$C$29))*PAR!$C$25*PAR!$C$27*I20,0)</f>
        <v>0</v>
      </c>
      <c r="AM20">
        <f>IF(F20="Y",((K20*M20)-(M20*PAR!$C$29))*PAR!$C$25*PAR!$C$27*I20,0)</f>
        <v>0</v>
      </c>
      <c r="AN20" s="91">
        <f t="shared" si="17"/>
        <v>0</v>
      </c>
      <c r="AO20">
        <f t="shared" si="18"/>
        <v>0</v>
      </c>
      <c r="AP20">
        <f t="shared" si="19"/>
        <v>0</v>
      </c>
      <c r="AQ20" s="103">
        <f t="shared" si="20"/>
        <v>0</v>
      </c>
      <c r="AR20">
        <f>IF(D20=1,PAR!$C$22,IF(D20&gt;1,PAR!$C$22+(D20-1)*PAR!$C$23,0))*I20</f>
        <v>0</v>
      </c>
    </row>
    <row r="21" spans="1:44" x14ac:dyDescent="0.75">
      <c r="A21" s="86" t="s">
        <v>107</v>
      </c>
      <c r="B21" s="32"/>
      <c r="C21" s="32"/>
      <c r="D21" s="32"/>
      <c r="E21" s="37"/>
      <c r="F21" s="37"/>
      <c r="G21" s="37"/>
      <c r="H21" s="37"/>
      <c r="I21" s="32"/>
      <c r="J21" s="52">
        <v>0</v>
      </c>
      <c r="K21" s="52">
        <v>0</v>
      </c>
      <c r="L21" s="52">
        <v>0</v>
      </c>
      <c r="M21" s="52">
        <v>0</v>
      </c>
      <c r="N21" s="16" t="s">
        <v>50</v>
      </c>
      <c r="O21" s="16" t="s">
        <v>50</v>
      </c>
      <c r="P21" s="114" t="str">
        <f t="shared" si="13"/>
        <v>See Comment</v>
      </c>
      <c r="Q21"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1" s="87" t="s">
        <v>422</v>
      </c>
      <c r="S21" s="20" t="str">
        <f t="shared" si="2"/>
        <v/>
      </c>
      <c r="T21" s="20" t="str">
        <f t="shared" si="3"/>
        <v/>
      </c>
      <c r="U21" s="20" t="str">
        <f t="shared" si="4"/>
        <v xml:space="preserve">No Pupils Entered (See column D), </v>
      </c>
      <c r="V21" s="20" t="str">
        <f t="shared" si="5"/>
        <v xml:space="preserve">No Trips Entered (See column L or M), </v>
      </c>
      <c r="W21" s="20" t="str">
        <f t="shared" si="6"/>
        <v xml:space="preserve">Enter Y or N for isolation status, </v>
      </c>
      <c r="X21" s="20" t="str">
        <f t="shared" si="7"/>
        <v xml:space="preserve">Enter Y or N for room &amp; board, </v>
      </c>
      <c r="Y21" s="20" t="str">
        <f t="shared" si="8"/>
        <v xml:space="preserve">Enter Y or N for shared funding, </v>
      </c>
      <c r="Z21" s="20" t="str">
        <f t="shared" si="9"/>
        <v xml:space="preserve">Enter Y or N for SPED with IEP, </v>
      </c>
      <c r="AA21" s="20" t="str">
        <f t="shared" si="10"/>
        <v xml:space="preserve">No days entered (see column I), </v>
      </c>
      <c r="AB21" s="20" t="str">
        <f t="shared" si="11"/>
        <v/>
      </c>
      <c r="AC21" s="20" t="str">
        <f t="shared" si="14"/>
        <v xml:space="preserve">No Miles Entered (See column J or K), </v>
      </c>
      <c r="AD21" s="20" t="str">
        <f t="shared" si="12"/>
        <v/>
      </c>
      <c r="AE21">
        <f>IF(((J21*L21)-(L21*PAR!$C$29))*PAR!$C$25*I21&gt;AR21,AR21,((J21*L21)-(L21*PAR!$C$29))*PAR!$C$25*I21)</f>
        <v>0</v>
      </c>
      <c r="AF21">
        <f>IF(((K21*M21)-(M21*PAR!$C$29))*PAR!$C$25*I21&gt;AR21,AR21,((K21*M21)-(M21*PAR!$C$29))*PAR!$C$25*I21)</f>
        <v>0</v>
      </c>
      <c r="AG21" s="53">
        <f t="shared" si="15"/>
        <v>0</v>
      </c>
      <c r="AH21" s="88">
        <f>ROUND(IF(AND(H21="Y",J21&lt;=PAR!$C$29),PAR!$C$25*I21,IF(H21="N",0,AE21)),2)</f>
        <v>0</v>
      </c>
      <c r="AI21" s="89">
        <f>IF(E21="Y",((J21*L21)-(L21*PAR!$C$29))*PAR!$C$25*PAR!$C$27*I21,0)</f>
        <v>0</v>
      </c>
      <c r="AJ21" s="89">
        <f>IF(E21="Y",((K21*M21)-(M21*PAR!$C$29))*ROUND(PAR!$C$25*PAR!$C$27,2)*I21,0)</f>
        <v>0</v>
      </c>
      <c r="AK21" s="90">
        <f t="shared" si="16"/>
        <v>0</v>
      </c>
      <c r="AL21">
        <f>IF(F21="Y",((J21*L21)-(L21*PAR!$C$29))*PAR!$C$25*PAR!$C$27*I21,0)</f>
        <v>0</v>
      </c>
      <c r="AM21">
        <f>IF(F21="Y",((K21*M21)-(M21*PAR!$C$29))*PAR!$C$25*PAR!$C$27*I21,0)</f>
        <v>0</v>
      </c>
      <c r="AN21" s="91">
        <f t="shared" si="17"/>
        <v>0</v>
      </c>
      <c r="AO21">
        <f t="shared" si="18"/>
        <v>0</v>
      </c>
      <c r="AP21">
        <f t="shared" si="19"/>
        <v>0</v>
      </c>
      <c r="AQ21" s="103">
        <f t="shared" si="20"/>
        <v>0</v>
      </c>
      <c r="AR21">
        <f>IF(D21=1,PAR!$C$22,IF(D21&gt;1,PAR!$C$22+(D21-1)*PAR!$C$23,0))*I21</f>
        <v>0</v>
      </c>
    </row>
    <row r="22" spans="1:44" x14ac:dyDescent="0.75">
      <c r="A22" s="86" t="s">
        <v>108</v>
      </c>
      <c r="B22" s="35"/>
      <c r="C22" s="35"/>
      <c r="D22" s="35"/>
      <c r="E22" s="38"/>
      <c r="F22" s="38"/>
      <c r="G22" s="38"/>
      <c r="H22" s="38"/>
      <c r="I22" s="35"/>
      <c r="J22" s="52">
        <v>0</v>
      </c>
      <c r="K22" s="52">
        <v>0</v>
      </c>
      <c r="L22" s="52">
        <v>0</v>
      </c>
      <c r="M22" s="52">
        <v>0</v>
      </c>
      <c r="N22" s="18" t="s">
        <v>50</v>
      </c>
      <c r="O22" s="18" t="s">
        <v>50</v>
      </c>
      <c r="P22" s="114" t="str">
        <f t="shared" si="13"/>
        <v>See Comment</v>
      </c>
      <c r="Q22"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2" s="87" t="s">
        <v>422</v>
      </c>
      <c r="S22" s="20" t="str">
        <f t="shared" si="2"/>
        <v/>
      </c>
      <c r="T22" s="20" t="str">
        <f t="shared" si="3"/>
        <v/>
      </c>
      <c r="U22" s="20" t="str">
        <f t="shared" si="4"/>
        <v xml:space="preserve">No Pupils Entered (See column D), </v>
      </c>
      <c r="V22" s="20" t="str">
        <f t="shared" si="5"/>
        <v xml:space="preserve">No Trips Entered (See column L or M), </v>
      </c>
      <c r="W22" s="20" t="str">
        <f t="shared" si="6"/>
        <v xml:space="preserve">Enter Y or N for isolation status, </v>
      </c>
      <c r="X22" s="20" t="str">
        <f t="shared" si="7"/>
        <v xml:space="preserve">Enter Y or N for room &amp; board, </v>
      </c>
      <c r="Y22" s="20" t="str">
        <f t="shared" si="8"/>
        <v xml:space="preserve">Enter Y or N for shared funding, </v>
      </c>
      <c r="Z22" s="20" t="str">
        <f t="shared" si="9"/>
        <v xml:space="preserve">Enter Y or N for SPED with IEP, </v>
      </c>
      <c r="AA22" s="20" t="str">
        <f t="shared" si="10"/>
        <v xml:space="preserve">No days entered (see column I), </v>
      </c>
      <c r="AB22" s="20" t="str">
        <f t="shared" si="11"/>
        <v/>
      </c>
      <c r="AC22" s="20" t="str">
        <f t="shared" si="14"/>
        <v xml:space="preserve">No Miles Entered (See column J or K), </v>
      </c>
      <c r="AD22" s="20" t="str">
        <f t="shared" si="12"/>
        <v/>
      </c>
      <c r="AE22">
        <f>IF(((J22*L22)-(L22*PAR!$C$29))*PAR!$C$25*I22&gt;AR22,AR22,((J22*L22)-(L22*PAR!$C$29))*PAR!$C$25*I22)</f>
        <v>0</v>
      </c>
      <c r="AF22">
        <f>IF(((K22*M22)-(M22*PAR!$C$29))*PAR!$C$25*I22&gt;AR22,AR22,((K22*M22)-(M22*PAR!$C$29))*PAR!$C$25*I22)</f>
        <v>0</v>
      </c>
      <c r="AG22" s="53">
        <f t="shared" si="15"/>
        <v>0</v>
      </c>
      <c r="AH22" s="88">
        <f>ROUND(IF(AND(H22="Y",J22&lt;=PAR!$C$29),PAR!$C$25*I22,IF(H22="N",0,AE22)),2)</f>
        <v>0</v>
      </c>
      <c r="AI22" s="89">
        <f>IF(E22="Y",((J22*L22)-(L22*PAR!$C$29))*PAR!$C$25*PAR!$C$27*I22,0)</f>
        <v>0</v>
      </c>
      <c r="AJ22" s="89">
        <f>IF(E22="Y",((K22*M22)-(M22*PAR!$C$29))*ROUND(PAR!$C$25*PAR!$C$27,2)*I22,0)</f>
        <v>0</v>
      </c>
      <c r="AK22" s="90">
        <f t="shared" si="16"/>
        <v>0</v>
      </c>
      <c r="AL22">
        <f>IF(F22="Y",((J22*L22)-(L22*PAR!$C$29))*PAR!$C$25*PAR!$C$27*I22,0)</f>
        <v>0</v>
      </c>
      <c r="AM22">
        <f>IF(F22="Y",((K22*M22)-(M22*PAR!$C$29))*PAR!$C$25*PAR!$C$27*I22,0)</f>
        <v>0</v>
      </c>
      <c r="AN22" s="91">
        <f t="shared" si="17"/>
        <v>0</v>
      </c>
      <c r="AO22">
        <f t="shared" si="18"/>
        <v>0</v>
      </c>
      <c r="AP22">
        <f t="shared" si="19"/>
        <v>0</v>
      </c>
      <c r="AQ22" s="103">
        <f t="shared" si="20"/>
        <v>0</v>
      </c>
      <c r="AR22">
        <f>IF(D22=1,PAR!$C$22,IF(D22&gt;1,PAR!$C$22+(D22-1)*PAR!$C$23,0))*I22</f>
        <v>0</v>
      </c>
    </row>
    <row r="23" spans="1:44" x14ac:dyDescent="0.75">
      <c r="A23" s="86" t="s">
        <v>109</v>
      </c>
      <c r="B23" s="32"/>
      <c r="C23" s="32"/>
      <c r="D23" s="32"/>
      <c r="E23" s="37"/>
      <c r="F23" s="37"/>
      <c r="G23" s="37"/>
      <c r="H23" s="37"/>
      <c r="I23" s="32"/>
      <c r="J23" s="52">
        <v>0</v>
      </c>
      <c r="K23" s="52">
        <v>0</v>
      </c>
      <c r="L23" s="52">
        <v>0</v>
      </c>
      <c r="M23" s="52">
        <v>0</v>
      </c>
      <c r="N23" s="16" t="s">
        <v>50</v>
      </c>
      <c r="O23" s="16" t="s">
        <v>50</v>
      </c>
      <c r="P23" s="114" t="str">
        <f t="shared" si="13"/>
        <v>See Comment</v>
      </c>
      <c r="Q23"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3" s="87" t="s">
        <v>422</v>
      </c>
      <c r="S23" s="20" t="str">
        <f t="shared" si="2"/>
        <v/>
      </c>
      <c r="T23" s="20" t="str">
        <f t="shared" si="3"/>
        <v/>
      </c>
      <c r="U23" s="20" t="str">
        <f t="shared" si="4"/>
        <v xml:space="preserve">No Pupils Entered (See column D), </v>
      </c>
      <c r="V23" s="20" t="str">
        <f t="shared" si="5"/>
        <v xml:space="preserve">No Trips Entered (See column L or M), </v>
      </c>
      <c r="W23" s="20" t="str">
        <f t="shared" si="6"/>
        <v xml:space="preserve">Enter Y or N for isolation status, </v>
      </c>
      <c r="X23" s="20" t="str">
        <f t="shared" si="7"/>
        <v xml:space="preserve">Enter Y or N for room &amp; board, </v>
      </c>
      <c r="Y23" s="20" t="str">
        <f t="shared" si="8"/>
        <v xml:space="preserve">Enter Y or N for shared funding, </v>
      </c>
      <c r="Z23" s="20" t="str">
        <f t="shared" si="9"/>
        <v xml:space="preserve">Enter Y or N for SPED with IEP, </v>
      </c>
      <c r="AA23" s="20" t="str">
        <f t="shared" si="10"/>
        <v xml:space="preserve">No days entered (see column I), </v>
      </c>
      <c r="AB23" s="20" t="str">
        <f t="shared" si="11"/>
        <v/>
      </c>
      <c r="AC23" s="20" t="str">
        <f t="shared" si="14"/>
        <v xml:space="preserve">No Miles Entered (See column J or K), </v>
      </c>
      <c r="AD23" s="20" t="str">
        <f t="shared" si="12"/>
        <v/>
      </c>
      <c r="AE23">
        <f>IF(((J23*L23)-(L23*PAR!$C$29))*PAR!$C$25*I23&gt;AR23,AR23,((J23*L23)-(L23*PAR!$C$29))*PAR!$C$25*I23)</f>
        <v>0</v>
      </c>
      <c r="AF23">
        <f>IF(((K23*M23)-(M23*PAR!$C$29))*PAR!$C$25*I23&gt;AR23,AR23,((K23*M23)-(M23*PAR!$C$29))*PAR!$C$25*I23)</f>
        <v>0</v>
      </c>
      <c r="AG23" s="53">
        <f t="shared" si="15"/>
        <v>0</v>
      </c>
      <c r="AH23" s="88">
        <f>ROUND(IF(AND(H23="Y",J23&lt;=PAR!$C$29),PAR!$C$25*I23,IF(H23="N",0,AE23)),2)</f>
        <v>0</v>
      </c>
      <c r="AI23" s="89">
        <f>IF(E23="Y",((J23*L23)-(L23*PAR!$C$29))*PAR!$C$25*PAR!$C$27*I23,0)</f>
        <v>0</v>
      </c>
      <c r="AJ23" s="89">
        <f>IF(E23="Y",((K23*M23)-(M23*PAR!$C$29))*ROUND(PAR!$C$25*PAR!$C$27,2)*I23,0)</f>
        <v>0</v>
      </c>
      <c r="AK23" s="90">
        <f t="shared" si="16"/>
        <v>0</v>
      </c>
      <c r="AL23">
        <f>IF(F23="Y",((J23*L23)-(L23*PAR!$C$29))*PAR!$C$25*PAR!$C$27*I23,0)</f>
        <v>0</v>
      </c>
      <c r="AM23">
        <f>IF(F23="Y",((K23*M23)-(M23*PAR!$C$29))*PAR!$C$25*PAR!$C$27*I23,0)</f>
        <v>0</v>
      </c>
      <c r="AN23" s="91">
        <f t="shared" si="17"/>
        <v>0</v>
      </c>
      <c r="AO23">
        <f t="shared" si="18"/>
        <v>0</v>
      </c>
      <c r="AP23">
        <f t="shared" si="19"/>
        <v>0</v>
      </c>
      <c r="AQ23" s="103">
        <f t="shared" si="20"/>
        <v>0</v>
      </c>
      <c r="AR23">
        <f>IF(D23=1,PAR!$C$22,IF(D23&gt;1,PAR!$C$22+(D23-1)*PAR!$C$23,0))*I23</f>
        <v>0</v>
      </c>
    </row>
    <row r="24" spans="1:44" x14ac:dyDescent="0.75">
      <c r="A24" s="86" t="s">
        <v>110</v>
      </c>
      <c r="B24" s="35"/>
      <c r="C24" s="35"/>
      <c r="D24" s="35"/>
      <c r="E24" s="38"/>
      <c r="F24" s="38"/>
      <c r="G24" s="38"/>
      <c r="H24" s="38"/>
      <c r="I24" s="35"/>
      <c r="J24" s="52">
        <v>0</v>
      </c>
      <c r="K24" s="52">
        <v>0</v>
      </c>
      <c r="L24" s="52">
        <v>0</v>
      </c>
      <c r="M24" s="52">
        <v>0</v>
      </c>
      <c r="N24" s="18" t="s">
        <v>50</v>
      </c>
      <c r="O24" s="18" t="s">
        <v>50</v>
      </c>
      <c r="P24" s="114" t="str">
        <f t="shared" si="13"/>
        <v>See Comment</v>
      </c>
      <c r="Q24"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4" s="87" t="s">
        <v>422</v>
      </c>
      <c r="S24" s="20" t="str">
        <f t="shared" si="2"/>
        <v/>
      </c>
      <c r="T24" s="20" t="str">
        <f t="shared" si="3"/>
        <v/>
      </c>
      <c r="U24" s="20" t="str">
        <f t="shared" si="4"/>
        <v xml:space="preserve">No Pupils Entered (See column D), </v>
      </c>
      <c r="V24" s="20" t="str">
        <f t="shared" si="5"/>
        <v xml:space="preserve">No Trips Entered (See column L or M), </v>
      </c>
      <c r="W24" s="20" t="str">
        <f t="shared" si="6"/>
        <v xml:space="preserve">Enter Y or N for isolation status, </v>
      </c>
      <c r="X24" s="20" t="str">
        <f t="shared" si="7"/>
        <v xml:space="preserve">Enter Y or N for room &amp; board, </v>
      </c>
      <c r="Y24" s="20" t="str">
        <f t="shared" si="8"/>
        <v xml:space="preserve">Enter Y or N for shared funding, </v>
      </c>
      <c r="Z24" s="20" t="str">
        <f t="shared" si="9"/>
        <v xml:space="preserve">Enter Y or N for SPED with IEP, </v>
      </c>
      <c r="AA24" s="20" t="str">
        <f t="shared" si="10"/>
        <v xml:space="preserve">No days entered (see column I), </v>
      </c>
      <c r="AB24" s="20" t="str">
        <f t="shared" si="11"/>
        <v/>
      </c>
      <c r="AC24" s="20" t="str">
        <f t="shared" si="14"/>
        <v xml:space="preserve">No Miles Entered (See column J or K), </v>
      </c>
      <c r="AD24" s="20" t="str">
        <f t="shared" si="12"/>
        <v/>
      </c>
      <c r="AE24">
        <f>IF(((J24*L24)-(L24*PAR!$C$29))*PAR!$C$25*I24&gt;AR24,AR24,((J24*L24)-(L24*PAR!$C$29))*PAR!$C$25*I24)</f>
        <v>0</v>
      </c>
      <c r="AF24">
        <f>IF(((K24*M24)-(M24*PAR!$C$29))*PAR!$C$25*I24&gt;AR24,AR24,((K24*M24)-(M24*PAR!$C$29))*PAR!$C$25*I24)</f>
        <v>0</v>
      </c>
      <c r="AG24" s="53">
        <f t="shared" si="15"/>
        <v>0</v>
      </c>
      <c r="AH24" s="88">
        <f>ROUND(IF(AND(H24="Y",J24&lt;=PAR!$C$29),PAR!$C$25*I24,IF(H24="N",0,AE24)),2)</f>
        <v>0</v>
      </c>
      <c r="AI24" s="89">
        <f>IF(E24="Y",((J24*L24)-(L24*PAR!$C$29))*PAR!$C$25*PAR!$C$27*I24,0)</f>
        <v>0</v>
      </c>
      <c r="AJ24" s="89">
        <f>IF(E24="Y",((K24*M24)-(M24*PAR!$C$29))*ROUND(PAR!$C$25*PAR!$C$27,2)*I24,0)</f>
        <v>0</v>
      </c>
      <c r="AK24" s="90">
        <f t="shared" si="16"/>
        <v>0</v>
      </c>
      <c r="AL24">
        <f>IF(F24="Y",((J24*L24)-(L24*PAR!$C$29))*PAR!$C$25*PAR!$C$27*I24,0)</f>
        <v>0</v>
      </c>
      <c r="AM24">
        <f>IF(F24="Y",((K24*M24)-(M24*PAR!$C$29))*PAR!$C$25*PAR!$C$27*I24,0)</f>
        <v>0</v>
      </c>
      <c r="AN24" s="91">
        <f t="shared" si="17"/>
        <v>0</v>
      </c>
      <c r="AO24">
        <f t="shared" si="18"/>
        <v>0</v>
      </c>
      <c r="AP24">
        <f t="shared" si="19"/>
        <v>0</v>
      </c>
      <c r="AQ24" s="103">
        <f t="shared" si="20"/>
        <v>0</v>
      </c>
      <c r="AR24">
        <f>IF(D24=1,PAR!$C$22,IF(D24&gt;1,PAR!$C$22+(D24-1)*PAR!$C$23,0))*I24</f>
        <v>0</v>
      </c>
    </row>
    <row r="25" spans="1:44" x14ac:dyDescent="0.75">
      <c r="A25" s="86" t="s">
        <v>111</v>
      </c>
      <c r="B25" s="32" t="s">
        <v>592</v>
      </c>
      <c r="C25" s="32"/>
      <c r="D25" s="32"/>
      <c r="E25" s="37"/>
      <c r="F25" s="37"/>
      <c r="G25" s="37"/>
      <c r="H25" s="37"/>
      <c r="I25" s="32"/>
      <c r="J25" s="51">
        <v>0</v>
      </c>
      <c r="K25" s="51">
        <v>0</v>
      </c>
      <c r="L25" s="51">
        <v>0</v>
      </c>
      <c r="M25" s="51">
        <v>0</v>
      </c>
      <c r="N25" s="16" t="s">
        <v>50</v>
      </c>
      <c r="O25" s="16" t="s">
        <v>50</v>
      </c>
      <c r="P25" s="114" t="str">
        <f t="shared" si="13"/>
        <v>See Comment</v>
      </c>
      <c r="Q25"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5" s="87" t="s">
        <v>422</v>
      </c>
      <c r="S25" s="20" t="str">
        <f t="shared" si="2"/>
        <v/>
      </c>
      <c r="T25" s="20" t="str">
        <f t="shared" si="3"/>
        <v/>
      </c>
      <c r="U25" s="20" t="str">
        <f t="shared" si="4"/>
        <v xml:space="preserve">No Pupils Entered (See column D), </v>
      </c>
      <c r="V25" s="20" t="str">
        <f t="shared" si="5"/>
        <v xml:space="preserve">No Trips Entered (See column L or M), </v>
      </c>
      <c r="W25" s="20" t="str">
        <f t="shared" si="6"/>
        <v xml:space="preserve">Enter Y or N for isolation status, </v>
      </c>
      <c r="X25" s="20" t="str">
        <f t="shared" si="7"/>
        <v xml:space="preserve">Enter Y or N for room &amp; board, </v>
      </c>
      <c r="Y25" s="20" t="str">
        <f t="shared" si="8"/>
        <v xml:space="preserve">Enter Y or N for shared funding, </v>
      </c>
      <c r="Z25" s="20" t="str">
        <f t="shared" si="9"/>
        <v xml:space="preserve">Enter Y or N for SPED with IEP, </v>
      </c>
      <c r="AA25" s="20" t="str">
        <f t="shared" si="10"/>
        <v xml:space="preserve">No days entered (see column I), </v>
      </c>
      <c r="AB25" s="20" t="str">
        <f t="shared" si="11"/>
        <v/>
      </c>
      <c r="AC25" s="20" t="str">
        <f t="shared" si="14"/>
        <v xml:space="preserve">No Miles Entered (See column J or K), </v>
      </c>
      <c r="AD25" s="20" t="str">
        <f t="shared" si="12"/>
        <v/>
      </c>
      <c r="AE25">
        <f>IF(((J25*L25)-(L25*PAR!$C$29))*PAR!$C$25*I25&gt;AR25,AR25,((J25*L25)-(L25*PAR!$C$29))*PAR!$C$25*I25)</f>
        <v>0</v>
      </c>
      <c r="AF25">
        <f>IF(((K25*M25)-(M25*PAR!$C$29))*PAR!$C$25*I25&gt;AR25,AR25,((K25*M25)-(M25*PAR!$C$29))*PAR!$C$25*I25)</f>
        <v>0</v>
      </c>
      <c r="AG25" s="53">
        <f t="shared" si="15"/>
        <v>0</v>
      </c>
      <c r="AH25" s="88">
        <f>ROUND(IF(AND(H25="Y",J25&lt;=PAR!$C$29),PAR!$C$25*I25,IF(H25="N",0,AE25)),2)</f>
        <v>0</v>
      </c>
      <c r="AI25" s="89">
        <f>IF(E25="Y",((J25*L25)-(L25*PAR!$C$29))*PAR!$C$25*PAR!$C$27*I25,0)</f>
        <v>0</v>
      </c>
      <c r="AJ25" s="89">
        <f>IF(E25="Y",((K25*M25)-(M25*PAR!$C$29))*ROUND(PAR!$C$25*PAR!$C$27,2)*I25,0)</f>
        <v>0</v>
      </c>
      <c r="AK25" s="90">
        <f t="shared" si="16"/>
        <v>0</v>
      </c>
      <c r="AL25">
        <f>IF(F25="Y",((J25*L25)-(L25*PAR!$C$29))*PAR!$C$25*PAR!$C$27*I25,0)</f>
        <v>0</v>
      </c>
      <c r="AM25">
        <f>IF(F25="Y",((K25*M25)-(M25*PAR!$C$29))*PAR!$C$25*PAR!$C$27*I25,0)</f>
        <v>0</v>
      </c>
      <c r="AN25" s="91">
        <f t="shared" si="17"/>
        <v>0</v>
      </c>
      <c r="AO25">
        <f t="shared" si="18"/>
        <v>0</v>
      </c>
      <c r="AP25">
        <f t="shared" si="19"/>
        <v>0</v>
      </c>
      <c r="AQ25" s="103">
        <f t="shared" si="20"/>
        <v>0</v>
      </c>
      <c r="AR25">
        <f>IF(D25=1,PAR!$C$22,IF(D25&gt;1,PAR!$C$22+(D25-1)*PAR!$C$23,0))*I25</f>
        <v>0</v>
      </c>
    </row>
    <row r="26" spans="1:44" x14ac:dyDescent="0.75">
      <c r="A26" s="86" t="s">
        <v>112</v>
      </c>
      <c r="B26" s="35"/>
      <c r="C26" s="35"/>
      <c r="D26" s="35"/>
      <c r="E26" s="38"/>
      <c r="F26" s="38"/>
      <c r="G26" s="38"/>
      <c r="H26" s="38"/>
      <c r="I26" s="35"/>
      <c r="J26" s="52">
        <v>0</v>
      </c>
      <c r="K26" s="52">
        <v>0</v>
      </c>
      <c r="L26" s="52">
        <v>0</v>
      </c>
      <c r="M26" s="52">
        <v>0</v>
      </c>
      <c r="N26" s="18" t="s">
        <v>50</v>
      </c>
      <c r="O26" s="18" t="s">
        <v>50</v>
      </c>
      <c r="P26" s="114" t="str">
        <f t="shared" si="13"/>
        <v>See Comment</v>
      </c>
      <c r="Q26"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6" s="87" t="s">
        <v>422</v>
      </c>
      <c r="S26" s="20" t="str">
        <f t="shared" si="2"/>
        <v/>
      </c>
      <c r="T26" s="20" t="str">
        <f t="shared" si="3"/>
        <v/>
      </c>
      <c r="U26" s="20" t="str">
        <f t="shared" si="4"/>
        <v xml:space="preserve">No Pupils Entered (See column D), </v>
      </c>
      <c r="V26" s="20" t="str">
        <f t="shared" si="5"/>
        <v xml:space="preserve">No Trips Entered (See column L or M), </v>
      </c>
      <c r="W26" s="20" t="str">
        <f t="shared" si="6"/>
        <v xml:space="preserve">Enter Y or N for isolation status, </v>
      </c>
      <c r="X26" s="20" t="str">
        <f t="shared" si="7"/>
        <v xml:space="preserve">Enter Y or N for room &amp; board, </v>
      </c>
      <c r="Y26" s="20" t="str">
        <f t="shared" si="8"/>
        <v xml:space="preserve">Enter Y or N for shared funding, </v>
      </c>
      <c r="Z26" s="20" t="str">
        <f t="shared" si="9"/>
        <v xml:space="preserve">Enter Y or N for SPED with IEP, </v>
      </c>
      <c r="AA26" s="20" t="str">
        <f t="shared" si="10"/>
        <v xml:space="preserve">No days entered (see column I), </v>
      </c>
      <c r="AB26" s="20" t="str">
        <f t="shared" si="11"/>
        <v/>
      </c>
      <c r="AC26" s="20" t="str">
        <f t="shared" si="14"/>
        <v xml:space="preserve">No Miles Entered (See column J or K), </v>
      </c>
      <c r="AD26" s="20" t="str">
        <f t="shared" si="12"/>
        <v/>
      </c>
      <c r="AE26">
        <f>IF(((J26*L26)-(L26*PAR!$C$29))*PAR!$C$25*I26&gt;AR26,AR26,((J26*L26)-(L26*PAR!$C$29))*PAR!$C$25*I26)</f>
        <v>0</v>
      </c>
      <c r="AF26">
        <f>IF(((K26*M26)-(M26*PAR!$C$29))*PAR!$C$25*I26&gt;AR26,AR26,((K26*M26)-(M26*PAR!$C$29))*PAR!$C$25*I26)</f>
        <v>0</v>
      </c>
      <c r="AG26" s="53">
        <f t="shared" si="15"/>
        <v>0</v>
      </c>
      <c r="AH26" s="88">
        <f>ROUND(IF(AND(H26="Y",J26&lt;=PAR!$C$29),PAR!$C$25*I26,IF(H26="N",0,AE26)),2)</f>
        <v>0</v>
      </c>
      <c r="AI26" s="89">
        <f>IF(E26="Y",((J26*L26)-(L26*PAR!$C$29))*PAR!$C$25*PAR!$C$27*I26,0)</f>
        <v>0</v>
      </c>
      <c r="AJ26" s="89">
        <f>IF(E26="Y",((K26*M26)-(M26*PAR!$C$29))*ROUND(PAR!$C$25*PAR!$C$27,2)*I26,0)</f>
        <v>0</v>
      </c>
      <c r="AK26" s="90">
        <f t="shared" si="16"/>
        <v>0</v>
      </c>
      <c r="AL26">
        <f>IF(F26="Y",((J26*L26)-(L26*PAR!$C$29))*PAR!$C$25*PAR!$C$27*I26,0)</f>
        <v>0</v>
      </c>
      <c r="AM26">
        <f>IF(F26="Y",((K26*M26)-(M26*PAR!$C$29))*PAR!$C$25*PAR!$C$27*I26,0)</f>
        <v>0</v>
      </c>
      <c r="AN26" s="91">
        <f t="shared" si="17"/>
        <v>0</v>
      </c>
      <c r="AO26">
        <f t="shared" si="18"/>
        <v>0</v>
      </c>
      <c r="AP26">
        <f t="shared" si="19"/>
        <v>0</v>
      </c>
      <c r="AQ26" s="103">
        <f t="shared" si="20"/>
        <v>0</v>
      </c>
      <c r="AR26">
        <f>IF(D26=1,PAR!$C$22,IF(D26&gt;1,PAR!$C$22+(D26-1)*PAR!$C$23,0))*I26</f>
        <v>0</v>
      </c>
    </row>
    <row r="27" spans="1:44" x14ac:dyDescent="0.75">
      <c r="A27" s="86" t="s">
        <v>113</v>
      </c>
      <c r="B27" s="32"/>
      <c r="C27" s="32"/>
      <c r="D27" s="32"/>
      <c r="E27" s="37"/>
      <c r="F27" s="37"/>
      <c r="G27" s="37"/>
      <c r="H27" s="37"/>
      <c r="I27" s="32"/>
      <c r="J27" s="51">
        <v>0</v>
      </c>
      <c r="K27" s="51">
        <v>0</v>
      </c>
      <c r="L27" s="51">
        <v>0</v>
      </c>
      <c r="M27" s="51">
        <v>0</v>
      </c>
      <c r="N27" s="16" t="s">
        <v>50</v>
      </c>
      <c r="O27" s="16" t="s">
        <v>50</v>
      </c>
      <c r="P27" s="114" t="str">
        <f t="shared" si="13"/>
        <v>See Comment</v>
      </c>
      <c r="Q27"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7" s="87" t="s">
        <v>422</v>
      </c>
      <c r="S27" s="20" t="str">
        <f t="shared" si="2"/>
        <v/>
      </c>
      <c r="T27" s="20" t="str">
        <f t="shared" si="3"/>
        <v/>
      </c>
      <c r="U27" s="20" t="str">
        <f t="shared" si="4"/>
        <v xml:space="preserve">No Pupils Entered (See column D), </v>
      </c>
      <c r="V27" s="20" t="str">
        <f t="shared" si="5"/>
        <v xml:space="preserve">No Trips Entered (See column L or M), </v>
      </c>
      <c r="W27" s="20" t="str">
        <f t="shared" si="6"/>
        <v xml:space="preserve">Enter Y or N for isolation status, </v>
      </c>
      <c r="X27" s="20" t="str">
        <f t="shared" si="7"/>
        <v xml:space="preserve">Enter Y or N for room &amp; board, </v>
      </c>
      <c r="Y27" s="20" t="str">
        <f t="shared" si="8"/>
        <v xml:space="preserve">Enter Y or N for shared funding, </v>
      </c>
      <c r="Z27" s="20" t="str">
        <f t="shared" si="9"/>
        <v xml:space="preserve">Enter Y or N for SPED with IEP, </v>
      </c>
      <c r="AA27" s="20" t="str">
        <f t="shared" si="10"/>
        <v xml:space="preserve">No days entered (see column I), </v>
      </c>
      <c r="AB27" s="20" t="str">
        <f t="shared" si="11"/>
        <v/>
      </c>
      <c r="AC27" s="20" t="str">
        <f t="shared" si="14"/>
        <v xml:space="preserve">No Miles Entered (See column J or K), </v>
      </c>
      <c r="AD27" s="20" t="str">
        <f t="shared" si="12"/>
        <v/>
      </c>
      <c r="AE27">
        <f>IF(((J27*L27)-(L27*PAR!$C$29))*PAR!$C$25*I27&gt;AR27,AR27,((J27*L27)-(L27*PAR!$C$29))*PAR!$C$25*I27)</f>
        <v>0</v>
      </c>
      <c r="AF27">
        <f>IF(((K27*M27)-(M27*PAR!$C$29))*PAR!$C$25*I27&gt;AR27,AR27,((K27*M27)-(M27*PAR!$C$29))*PAR!$C$25*I27)</f>
        <v>0</v>
      </c>
      <c r="AG27" s="53">
        <f t="shared" si="15"/>
        <v>0</v>
      </c>
      <c r="AH27" s="88">
        <f>ROUND(IF(AND(H27="Y",J27&lt;=PAR!$C$29),PAR!$C$25*I27,IF(H27="N",0,AE27)),2)</f>
        <v>0</v>
      </c>
      <c r="AI27" s="89">
        <f>IF(E27="Y",((J27*L27)-(L27*PAR!$C$29))*PAR!$C$25*PAR!$C$27*I27,0)</f>
        <v>0</v>
      </c>
      <c r="AJ27" s="89">
        <f>IF(E27="Y",((K27*M27)-(M27*PAR!$C$29))*ROUND(PAR!$C$25*PAR!$C$27,2)*I27,0)</f>
        <v>0</v>
      </c>
      <c r="AK27" s="90">
        <f t="shared" si="16"/>
        <v>0</v>
      </c>
      <c r="AL27">
        <f>IF(F27="Y",((J27*L27)-(L27*PAR!$C$29))*PAR!$C$25*PAR!$C$27*I27,0)</f>
        <v>0</v>
      </c>
      <c r="AM27">
        <f>IF(F27="Y",((K27*M27)-(M27*PAR!$C$29))*PAR!$C$25*PAR!$C$27*I27,0)</f>
        <v>0</v>
      </c>
      <c r="AN27" s="91">
        <f t="shared" si="17"/>
        <v>0</v>
      </c>
      <c r="AO27">
        <f t="shared" si="18"/>
        <v>0</v>
      </c>
      <c r="AP27">
        <f t="shared" si="19"/>
        <v>0</v>
      </c>
      <c r="AQ27" s="103">
        <f t="shared" si="20"/>
        <v>0</v>
      </c>
      <c r="AR27">
        <f>IF(D27=1,PAR!$C$22,IF(D27&gt;1,PAR!$C$22+(D27-1)*PAR!$C$23,0))*I27</f>
        <v>0</v>
      </c>
    </row>
    <row r="28" spans="1:44" x14ac:dyDescent="0.75">
      <c r="A28" s="86" t="s">
        <v>114</v>
      </c>
      <c r="B28" s="35"/>
      <c r="C28" s="35"/>
      <c r="D28" s="35"/>
      <c r="E28" s="38"/>
      <c r="F28" s="38"/>
      <c r="G28" s="38"/>
      <c r="H28" s="38"/>
      <c r="I28" s="35"/>
      <c r="J28" s="52">
        <v>0</v>
      </c>
      <c r="K28" s="52">
        <v>0</v>
      </c>
      <c r="L28" s="52">
        <v>0</v>
      </c>
      <c r="M28" s="52">
        <v>0</v>
      </c>
      <c r="N28" s="18" t="s">
        <v>50</v>
      </c>
      <c r="O28" s="18" t="s">
        <v>50</v>
      </c>
      <c r="P28" s="114" t="str">
        <f t="shared" si="13"/>
        <v>See Comment</v>
      </c>
      <c r="Q28"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8" s="87" t="s">
        <v>422</v>
      </c>
      <c r="S28" s="20" t="str">
        <f t="shared" si="2"/>
        <v/>
      </c>
      <c r="T28" s="20" t="str">
        <f t="shared" si="3"/>
        <v/>
      </c>
      <c r="U28" s="20" t="str">
        <f t="shared" si="4"/>
        <v xml:space="preserve">No Pupils Entered (See column D), </v>
      </c>
      <c r="V28" s="20" t="str">
        <f t="shared" si="5"/>
        <v xml:space="preserve">No Trips Entered (See column L or M), </v>
      </c>
      <c r="W28" s="20" t="str">
        <f t="shared" si="6"/>
        <v xml:space="preserve">Enter Y or N for isolation status, </v>
      </c>
      <c r="X28" s="20" t="str">
        <f t="shared" si="7"/>
        <v xml:space="preserve">Enter Y or N for room &amp; board, </v>
      </c>
      <c r="Y28" s="20" t="str">
        <f t="shared" si="8"/>
        <v xml:space="preserve">Enter Y or N for shared funding, </v>
      </c>
      <c r="Z28" s="20" t="str">
        <f t="shared" si="9"/>
        <v xml:space="preserve">Enter Y or N for SPED with IEP, </v>
      </c>
      <c r="AA28" s="20" t="str">
        <f t="shared" si="10"/>
        <v xml:space="preserve">No days entered (see column I), </v>
      </c>
      <c r="AB28" s="20" t="str">
        <f t="shared" si="11"/>
        <v/>
      </c>
      <c r="AC28" s="20" t="str">
        <f t="shared" si="14"/>
        <v xml:space="preserve">No Miles Entered (See column J or K), </v>
      </c>
      <c r="AD28" s="20" t="str">
        <f t="shared" si="12"/>
        <v/>
      </c>
      <c r="AE28">
        <f>IF(((J28*L28)-(L28*PAR!$C$29))*PAR!$C$25*I28&gt;AR28,AR28,((J28*L28)-(L28*PAR!$C$29))*PAR!$C$25*I28)</f>
        <v>0</v>
      </c>
      <c r="AF28">
        <f>IF(((K28*M28)-(M28*PAR!$C$29))*PAR!$C$25*I28&gt;AR28,AR28,((K28*M28)-(M28*PAR!$C$29))*PAR!$C$25*I28)</f>
        <v>0</v>
      </c>
      <c r="AG28" s="53">
        <f t="shared" si="15"/>
        <v>0</v>
      </c>
      <c r="AH28" s="88">
        <f>ROUND(IF(AND(H28="Y",J28&lt;=PAR!$C$29),PAR!$C$25*I28,IF(H28="N",0,AE28)),2)</f>
        <v>0</v>
      </c>
      <c r="AI28" s="89">
        <f>IF(E28="Y",((J28*L28)-(L28*PAR!$C$29))*PAR!$C$25*PAR!$C$27*I28,0)</f>
        <v>0</v>
      </c>
      <c r="AJ28" s="89">
        <f>IF(E28="Y",((K28*M28)-(M28*PAR!$C$29))*ROUND(PAR!$C$25*PAR!$C$27,2)*I28,0)</f>
        <v>0</v>
      </c>
      <c r="AK28" s="90">
        <f t="shared" si="16"/>
        <v>0</v>
      </c>
      <c r="AL28">
        <f>IF(F28="Y",((J28*L28)-(L28*PAR!$C$29))*PAR!$C$25*PAR!$C$27*I28,0)</f>
        <v>0</v>
      </c>
      <c r="AM28">
        <f>IF(F28="Y",((K28*M28)-(M28*PAR!$C$29))*PAR!$C$25*PAR!$C$27*I28,0)</f>
        <v>0</v>
      </c>
      <c r="AN28" s="91">
        <f t="shared" si="17"/>
        <v>0</v>
      </c>
      <c r="AO28">
        <f t="shared" si="18"/>
        <v>0</v>
      </c>
      <c r="AP28">
        <f t="shared" si="19"/>
        <v>0</v>
      </c>
      <c r="AQ28" s="103">
        <f t="shared" si="20"/>
        <v>0</v>
      </c>
      <c r="AR28">
        <f>IF(D28=1,PAR!$C$22,IF(D28&gt;1,PAR!$C$22+(D28-1)*PAR!$C$23,0))*I28</f>
        <v>0</v>
      </c>
    </row>
    <row r="29" spans="1:44" x14ac:dyDescent="0.75">
      <c r="A29" s="86" t="s">
        <v>115</v>
      </c>
      <c r="B29" s="32"/>
      <c r="C29" s="32"/>
      <c r="D29" s="32"/>
      <c r="E29" s="37"/>
      <c r="F29" s="37"/>
      <c r="G29" s="37"/>
      <c r="H29" s="37"/>
      <c r="I29" s="32"/>
      <c r="J29" s="51">
        <v>0</v>
      </c>
      <c r="K29" s="51">
        <v>0</v>
      </c>
      <c r="L29" s="51">
        <v>0</v>
      </c>
      <c r="M29" s="51">
        <v>0</v>
      </c>
      <c r="N29" s="16" t="s">
        <v>50</v>
      </c>
      <c r="O29" s="16" t="s">
        <v>50</v>
      </c>
      <c r="P29" s="114" t="str">
        <f t="shared" si="13"/>
        <v>See Comment</v>
      </c>
      <c r="Q29"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9" s="87" t="s">
        <v>422</v>
      </c>
      <c r="S29" s="20" t="str">
        <f t="shared" si="2"/>
        <v/>
      </c>
      <c r="T29" s="20" t="str">
        <f t="shared" si="3"/>
        <v/>
      </c>
      <c r="U29" s="20" t="str">
        <f t="shared" si="4"/>
        <v xml:space="preserve">No Pupils Entered (See column D), </v>
      </c>
      <c r="V29" s="20" t="str">
        <f t="shared" si="5"/>
        <v xml:space="preserve">No Trips Entered (See column L or M), </v>
      </c>
      <c r="W29" s="20" t="str">
        <f t="shared" si="6"/>
        <v xml:space="preserve">Enter Y or N for isolation status, </v>
      </c>
      <c r="X29" s="20" t="str">
        <f t="shared" si="7"/>
        <v xml:space="preserve">Enter Y or N for room &amp; board, </v>
      </c>
      <c r="Y29" s="20" t="str">
        <f t="shared" si="8"/>
        <v xml:space="preserve">Enter Y or N for shared funding, </v>
      </c>
      <c r="Z29" s="20" t="str">
        <f t="shared" si="9"/>
        <v xml:space="preserve">Enter Y or N for SPED with IEP, </v>
      </c>
      <c r="AA29" s="20" t="str">
        <f t="shared" si="10"/>
        <v xml:space="preserve">No days entered (see column I), </v>
      </c>
      <c r="AB29" s="20" t="str">
        <f t="shared" si="11"/>
        <v/>
      </c>
      <c r="AC29" s="20" t="str">
        <f t="shared" si="14"/>
        <v xml:space="preserve">No Miles Entered (See column J or K), </v>
      </c>
      <c r="AD29" s="20" t="str">
        <f t="shared" si="12"/>
        <v/>
      </c>
      <c r="AE29">
        <f>IF(((J29*L29)-(L29*PAR!$C$29))*PAR!$C$25*I29&gt;AR29,AR29,((J29*L29)-(L29*PAR!$C$29))*PAR!$C$25*I29)</f>
        <v>0</v>
      </c>
      <c r="AF29">
        <f>IF(((K29*M29)-(M29*PAR!$C$29))*PAR!$C$25*I29&gt;AR29,AR29,((K29*M29)-(M29*PAR!$C$29))*PAR!$C$25*I29)</f>
        <v>0</v>
      </c>
      <c r="AG29" s="53">
        <f t="shared" si="15"/>
        <v>0</v>
      </c>
      <c r="AH29" s="88">
        <f>ROUND(IF(AND(H29="Y",J29&lt;=PAR!$C$29),PAR!$C$25*I29,IF(H29="N",0,AE29)),2)</f>
        <v>0</v>
      </c>
      <c r="AI29" s="89">
        <f>IF(E29="Y",((J29*L29)-(L29*PAR!$C$29))*PAR!$C$25*PAR!$C$27*I29,0)</f>
        <v>0</v>
      </c>
      <c r="AJ29" s="89">
        <f>IF(E29="Y",((K29*M29)-(M29*PAR!$C$29))*ROUND(PAR!$C$25*PAR!$C$27,2)*I29,0)</f>
        <v>0</v>
      </c>
      <c r="AK29" s="90">
        <f t="shared" si="16"/>
        <v>0</v>
      </c>
      <c r="AL29">
        <f>IF(F29="Y",((J29*L29)-(L29*PAR!$C$29))*PAR!$C$25*PAR!$C$27*I29,0)</f>
        <v>0</v>
      </c>
      <c r="AM29">
        <f>IF(F29="Y",((K29*M29)-(M29*PAR!$C$29))*PAR!$C$25*PAR!$C$27*I29,0)</f>
        <v>0</v>
      </c>
      <c r="AN29" s="91">
        <f t="shared" si="17"/>
        <v>0</v>
      </c>
      <c r="AO29">
        <f t="shared" si="18"/>
        <v>0</v>
      </c>
      <c r="AP29">
        <f t="shared" si="19"/>
        <v>0</v>
      </c>
      <c r="AQ29" s="103">
        <f t="shared" si="20"/>
        <v>0</v>
      </c>
      <c r="AR29">
        <f>IF(D29=1,PAR!$C$22,IF(D29&gt;1,PAR!$C$22+(D29-1)*PAR!$C$23,0))*I29</f>
        <v>0</v>
      </c>
    </row>
    <row r="30" spans="1:44" x14ac:dyDescent="0.75">
      <c r="A30" s="86" t="s">
        <v>116</v>
      </c>
      <c r="B30" s="35"/>
      <c r="C30" s="35"/>
      <c r="D30" s="35"/>
      <c r="E30" s="38"/>
      <c r="F30" s="38"/>
      <c r="G30" s="38"/>
      <c r="H30" s="38"/>
      <c r="I30" s="35"/>
      <c r="J30" s="52">
        <v>0</v>
      </c>
      <c r="K30" s="52">
        <v>0</v>
      </c>
      <c r="L30" s="52">
        <v>0</v>
      </c>
      <c r="M30" s="52">
        <v>0</v>
      </c>
      <c r="N30" s="18" t="s">
        <v>50</v>
      </c>
      <c r="O30" s="18" t="s">
        <v>50</v>
      </c>
      <c r="P30" s="114" t="str">
        <f t="shared" si="13"/>
        <v>See Comment</v>
      </c>
      <c r="Q30"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0" s="87" t="s">
        <v>422</v>
      </c>
      <c r="S30" s="20" t="str">
        <f t="shared" si="2"/>
        <v/>
      </c>
      <c r="T30" s="20" t="str">
        <f t="shared" si="3"/>
        <v/>
      </c>
      <c r="U30" s="20" t="str">
        <f t="shared" si="4"/>
        <v xml:space="preserve">No Pupils Entered (See column D), </v>
      </c>
      <c r="V30" s="20" t="str">
        <f t="shared" si="5"/>
        <v xml:space="preserve">No Trips Entered (See column L or M), </v>
      </c>
      <c r="W30" s="20" t="str">
        <f t="shared" si="6"/>
        <v xml:space="preserve">Enter Y or N for isolation status, </v>
      </c>
      <c r="X30" s="20" t="str">
        <f t="shared" si="7"/>
        <v xml:space="preserve">Enter Y or N for room &amp; board, </v>
      </c>
      <c r="Y30" s="20" t="str">
        <f t="shared" si="8"/>
        <v xml:space="preserve">Enter Y or N for shared funding, </v>
      </c>
      <c r="Z30" s="20" t="str">
        <f t="shared" si="9"/>
        <v xml:space="preserve">Enter Y or N for SPED with IEP, </v>
      </c>
      <c r="AA30" s="20" t="str">
        <f t="shared" si="10"/>
        <v xml:space="preserve">No days entered (see column I), </v>
      </c>
      <c r="AB30" s="20" t="str">
        <f t="shared" si="11"/>
        <v/>
      </c>
      <c r="AC30" s="20" t="str">
        <f t="shared" si="14"/>
        <v xml:space="preserve">No Miles Entered (See column J or K), </v>
      </c>
      <c r="AD30" s="20" t="str">
        <f t="shared" si="12"/>
        <v/>
      </c>
      <c r="AE30">
        <f>IF(((J30*L30)-(L30*PAR!$C$29))*PAR!$C$25*I30&gt;AR30,AR30,((J30*L30)-(L30*PAR!$C$29))*PAR!$C$25*I30)</f>
        <v>0</v>
      </c>
      <c r="AF30">
        <f>IF(((K30*M30)-(M30*PAR!$C$29))*PAR!$C$25*I30&gt;AR30,AR30,((K30*M30)-(M30*PAR!$C$29))*PAR!$C$25*I30)</f>
        <v>0</v>
      </c>
      <c r="AG30" s="53">
        <f t="shared" si="15"/>
        <v>0</v>
      </c>
      <c r="AH30" s="88">
        <f>ROUND(IF(AND(H30="Y",J30&lt;=PAR!$C$29),PAR!$C$25*I30,IF(H30="N",0,AE30)),2)</f>
        <v>0</v>
      </c>
      <c r="AI30" s="89">
        <f>IF(E30="Y",((J30*L30)-(L30*PAR!$C$29))*PAR!$C$25*PAR!$C$27*I30,0)</f>
        <v>0</v>
      </c>
      <c r="AJ30" s="89">
        <f>IF(E30="Y",((K30*M30)-(M30*PAR!$C$29))*ROUND(PAR!$C$25*PAR!$C$27,2)*I30,0)</f>
        <v>0</v>
      </c>
      <c r="AK30" s="90">
        <f t="shared" si="16"/>
        <v>0</v>
      </c>
      <c r="AL30">
        <f>IF(F30="Y",((J30*L30)-(L30*PAR!$C$29))*PAR!$C$25*PAR!$C$27*I30,0)</f>
        <v>0</v>
      </c>
      <c r="AM30">
        <f>IF(F30="Y",((K30*M30)-(M30*PAR!$C$29))*PAR!$C$25*PAR!$C$27*I30,0)</f>
        <v>0</v>
      </c>
      <c r="AN30" s="91">
        <f t="shared" si="17"/>
        <v>0</v>
      </c>
      <c r="AO30">
        <f t="shared" si="18"/>
        <v>0</v>
      </c>
      <c r="AP30">
        <f t="shared" si="19"/>
        <v>0</v>
      </c>
      <c r="AQ30" s="103">
        <f t="shared" si="20"/>
        <v>0</v>
      </c>
      <c r="AR30">
        <f>IF(D30=1,PAR!$C$22,IF(D30&gt;1,PAR!$C$22+(D30-1)*PAR!$C$23,0))*I30</f>
        <v>0</v>
      </c>
    </row>
    <row r="31" spans="1:44" x14ac:dyDescent="0.75">
      <c r="A31" s="86" t="s">
        <v>117</v>
      </c>
      <c r="B31" s="32"/>
      <c r="C31" s="32"/>
      <c r="D31" s="32"/>
      <c r="E31" s="37"/>
      <c r="F31" s="37"/>
      <c r="G31" s="37"/>
      <c r="H31" s="37"/>
      <c r="I31" s="32"/>
      <c r="J31" s="51">
        <v>0</v>
      </c>
      <c r="K31" s="51">
        <v>0</v>
      </c>
      <c r="L31" s="51">
        <v>0</v>
      </c>
      <c r="M31" s="51">
        <v>0</v>
      </c>
      <c r="N31" s="16" t="s">
        <v>50</v>
      </c>
      <c r="O31" s="16" t="s">
        <v>50</v>
      </c>
      <c r="P31" s="114" t="str">
        <f t="shared" si="13"/>
        <v>See Comment</v>
      </c>
      <c r="Q31"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1" s="87" t="s">
        <v>422</v>
      </c>
      <c r="S31" s="20" t="str">
        <f t="shared" si="2"/>
        <v/>
      </c>
      <c r="T31" s="20" t="str">
        <f t="shared" si="3"/>
        <v/>
      </c>
      <c r="U31" s="20" t="str">
        <f t="shared" si="4"/>
        <v xml:space="preserve">No Pupils Entered (See column D), </v>
      </c>
      <c r="V31" s="20" t="str">
        <f t="shared" si="5"/>
        <v xml:space="preserve">No Trips Entered (See column L or M), </v>
      </c>
      <c r="W31" s="20" t="str">
        <f t="shared" si="6"/>
        <v xml:space="preserve">Enter Y or N for isolation status, </v>
      </c>
      <c r="X31" s="20" t="str">
        <f t="shared" si="7"/>
        <v xml:space="preserve">Enter Y or N for room &amp; board, </v>
      </c>
      <c r="Y31" s="20" t="str">
        <f t="shared" si="8"/>
        <v xml:space="preserve">Enter Y or N for shared funding, </v>
      </c>
      <c r="Z31" s="20" t="str">
        <f t="shared" si="9"/>
        <v xml:space="preserve">Enter Y or N for SPED with IEP, </v>
      </c>
      <c r="AA31" s="20" t="str">
        <f t="shared" si="10"/>
        <v xml:space="preserve">No days entered (see column I), </v>
      </c>
      <c r="AB31" s="20" t="str">
        <f t="shared" si="11"/>
        <v/>
      </c>
      <c r="AC31" s="20" t="str">
        <f t="shared" si="14"/>
        <v xml:space="preserve">No Miles Entered (See column J or K), </v>
      </c>
      <c r="AD31" s="20" t="str">
        <f t="shared" si="12"/>
        <v/>
      </c>
      <c r="AE31">
        <f>IF(((J31*L31)-(L31*PAR!$C$29))*PAR!$C$25*I31&gt;AR31,AR31,((J31*L31)-(L31*PAR!$C$29))*PAR!$C$25*I31)</f>
        <v>0</v>
      </c>
      <c r="AF31">
        <f>IF(((K31*M31)-(M31*PAR!$C$29))*PAR!$C$25*I31&gt;AR31,AR31,((K31*M31)-(M31*PAR!$C$29))*PAR!$C$25*I31)</f>
        <v>0</v>
      </c>
      <c r="AG31" s="53">
        <f t="shared" si="15"/>
        <v>0</v>
      </c>
      <c r="AH31" s="88">
        <f>ROUND(IF(AND(H31="Y",J31&lt;=PAR!$C$29),PAR!$C$25*I31,IF(H31="N",0,AE31)),2)</f>
        <v>0</v>
      </c>
      <c r="AI31" s="89">
        <f>IF(E31="Y",((J31*L31)-(L31*PAR!$C$29))*PAR!$C$25*PAR!$C$27*I31,0)</f>
        <v>0</v>
      </c>
      <c r="AJ31" s="89">
        <f>IF(E31="Y",((K31*M31)-(M31*PAR!$C$29))*ROUND(PAR!$C$25*PAR!$C$27,2)*I31,0)</f>
        <v>0</v>
      </c>
      <c r="AK31" s="90">
        <f t="shared" si="16"/>
        <v>0</v>
      </c>
      <c r="AL31">
        <f>IF(F31="Y",((J31*L31)-(L31*PAR!$C$29))*PAR!$C$25*PAR!$C$27*I31,0)</f>
        <v>0</v>
      </c>
      <c r="AM31">
        <f>IF(F31="Y",((K31*M31)-(M31*PAR!$C$29))*PAR!$C$25*PAR!$C$27*I31,0)</f>
        <v>0</v>
      </c>
      <c r="AN31" s="91">
        <f t="shared" si="17"/>
        <v>0</v>
      </c>
      <c r="AO31">
        <f t="shared" si="18"/>
        <v>0</v>
      </c>
      <c r="AP31">
        <f t="shared" si="19"/>
        <v>0</v>
      </c>
      <c r="AQ31" s="103">
        <f t="shared" si="20"/>
        <v>0</v>
      </c>
      <c r="AR31">
        <f>IF(D31=1,PAR!$C$22,IF(D31&gt;1,PAR!$C$22+(D31-1)*PAR!$C$23,0))*I31</f>
        <v>0</v>
      </c>
    </row>
    <row r="32" spans="1:44" x14ac:dyDescent="0.75">
      <c r="A32" s="86" t="s">
        <v>118</v>
      </c>
      <c r="B32" s="35"/>
      <c r="C32" s="35"/>
      <c r="D32" s="35"/>
      <c r="E32" s="38"/>
      <c r="F32" s="38"/>
      <c r="G32" s="38"/>
      <c r="H32" s="38"/>
      <c r="I32" s="35"/>
      <c r="J32" s="52">
        <v>0</v>
      </c>
      <c r="K32" s="52">
        <v>0</v>
      </c>
      <c r="L32" s="52">
        <v>0</v>
      </c>
      <c r="M32" s="52">
        <v>0</v>
      </c>
      <c r="N32" s="18" t="s">
        <v>50</v>
      </c>
      <c r="O32" s="18" t="s">
        <v>50</v>
      </c>
      <c r="P32" s="114" t="str">
        <f t="shared" si="13"/>
        <v>See Comment</v>
      </c>
      <c r="Q32"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2" s="87" t="s">
        <v>422</v>
      </c>
      <c r="S32" s="20" t="str">
        <f t="shared" si="2"/>
        <v/>
      </c>
      <c r="T32" s="20" t="str">
        <f t="shared" si="3"/>
        <v/>
      </c>
      <c r="U32" s="20" t="str">
        <f t="shared" si="4"/>
        <v xml:space="preserve">No Pupils Entered (See column D), </v>
      </c>
      <c r="V32" s="20" t="str">
        <f t="shared" si="5"/>
        <v xml:space="preserve">No Trips Entered (See column L or M), </v>
      </c>
      <c r="W32" s="20" t="str">
        <f t="shared" si="6"/>
        <v xml:space="preserve">Enter Y or N for isolation status, </v>
      </c>
      <c r="X32" s="20" t="str">
        <f t="shared" si="7"/>
        <v xml:space="preserve">Enter Y or N for room &amp; board, </v>
      </c>
      <c r="Y32" s="20" t="str">
        <f t="shared" si="8"/>
        <v xml:space="preserve">Enter Y or N for shared funding, </v>
      </c>
      <c r="Z32" s="20" t="str">
        <f t="shared" si="9"/>
        <v xml:space="preserve">Enter Y or N for SPED with IEP, </v>
      </c>
      <c r="AA32" s="20" t="str">
        <f t="shared" si="10"/>
        <v xml:space="preserve">No days entered (see column I), </v>
      </c>
      <c r="AB32" s="20" t="str">
        <f t="shared" si="11"/>
        <v/>
      </c>
      <c r="AC32" s="20" t="str">
        <f t="shared" si="14"/>
        <v xml:space="preserve">No Miles Entered (See column J or K), </v>
      </c>
      <c r="AD32" s="20" t="str">
        <f t="shared" si="12"/>
        <v/>
      </c>
      <c r="AE32">
        <f>IF(((J32*L32)-(L32*PAR!$C$29))*PAR!$C$25*I32&gt;AR32,AR32,((J32*L32)-(L32*PAR!$C$29))*PAR!$C$25*I32)</f>
        <v>0</v>
      </c>
      <c r="AF32">
        <f>IF(((K32*M32)-(M32*PAR!$C$29))*PAR!$C$25*I32&gt;AR32,AR32,((K32*M32)-(M32*PAR!$C$29))*PAR!$C$25*I32)</f>
        <v>0</v>
      </c>
      <c r="AG32" s="53">
        <f t="shared" si="15"/>
        <v>0</v>
      </c>
      <c r="AH32" s="88">
        <f>ROUND(IF(AND(H32="Y",J32&lt;=PAR!$C$29),PAR!$C$25*I32,IF(H32="N",0,AE32)),2)</f>
        <v>0</v>
      </c>
      <c r="AI32" s="89">
        <f>IF(E32="Y",((J32*L32)-(L32*PAR!$C$29))*PAR!$C$25*PAR!$C$27*I32,0)</f>
        <v>0</v>
      </c>
      <c r="AJ32" s="89">
        <f>IF(E32="Y",((K32*M32)-(M32*PAR!$C$29))*ROUND(PAR!$C$25*PAR!$C$27,2)*I32,0)</f>
        <v>0</v>
      </c>
      <c r="AK32" s="90">
        <f t="shared" si="16"/>
        <v>0</v>
      </c>
      <c r="AL32">
        <f>IF(F32="Y",((J32*L32)-(L32*PAR!$C$29))*PAR!$C$25*PAR!$C$27*I32,0)</f>
        <v>0</v>
      </c>
      <c r="AM32">
        <f>IF(F32="Y",((K32*M32)-(M32*PAR!$C$29))*PAR!$C$25*PAR!$C$27*I32,0)</f>
        <v>0</v>
      </c>
      <c r="AN32" s="91">
        <f t="shared" si="17"/>
        <v>0</v>
      </c>
      <c r="AO32">
        <f t="shared" si="18"/>
        <v>0</v>
      </c>
      <c r="AP32">
        <f t="shared" si="19"/>
        <v>0</v>
      </c>
      <c r="AQ32" s="103">
        <f t="shared" si="20"/>
        <v>0</v>
      </c>
      <c r="AR32">
        <f>IF(D32=1,PAR!$C$22,IF(D32&gt;1,PAR!$C$22+(D32-1)*PAR!$C$23,0))*I32</f>
        <v>0</v>
      </c>
    </row>
    <row r="33" spans="1:44" x14ac:dyDescent="0.75">
      <c r="A33" s="86" t="s">
        <v>119</v>
      </c>
      <c r="B33" s="32"/>
      <c r="C33" s="32"/>
      <c r="D33" s="32"/>
      <c r="E33" s="37"/>
      <c r="F33" s="37"/>
      <c r="G33" s="37"/>
      <c r="H33" s="37"/>
      <c r="I33" s="32"/>
      <c r="J33" s="51">
        <v>0</v>
      </c>
      <c r="K33" s="51">
        <v>0</v>
      </c>
      <c r="L33" s="51">
        <v>0</v>
      </c>
      <c r="M33" s="51">
        <v>0</v>
      </c>
      <c r="N33" s="16" t="s">
        <v>50</v>
      </c>
      <c r="O33" s="16" t="s">
        <v>50</v>
      </c>
      <c r="P33" s="114" t="str">
        <f t="shared" si="13"/>
        <v>See Comment</v>
      </c>
      <c r="Q33"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3" s="87" t="s">
        <v>422</v>
      </c>
      <c r="S33" s="20" t="str">
        <f t="shared" si="2"/>
        <v/>
      </c>
      <c r="T33" s="20" t="str">
        <f t="shared" si="3"/>
        <v/>
      </c>
      <c r="U33" s="20" t="str">
        <f t="shared" si="4"/>
        <v xml:space="preserve">No Pupils Entered (See column D), </v>
      </c>
      <c r="V33" s="20" t="str">
        <f t="shared" si="5"/>
        <v xml:space="preserve">No Trips Entered (See column L or M), </v>
      </c>
      <c r="W33" s="20" t="str">
        <f t="shared" si="6"/>
        <v xml:space="preserve">Enter Y or N for isolation status, </v>
      </c>
      <c r="X33" s="20" t="str">
        <f t="shared" si="7"/>
        <v xml:space="preserve">Enter Y or N for room &amp; board, </v>
      </c>
      <c r="Y33" s="20" t="str">
        <f t="shared" si="8"/>
        <v xml:space="preserve">Enter Y or N for shared funding, </v>
      </c>
      <c r="Z33" s="20" t="str">
        <f t="shared" si="9"/>
        <v xml:space="preserve">Enter Y or N for SPED with IEP, </v>
      </c>
      <c r="AA33" s="20" t="str">
        <f t="shared" si="10"/>
        <v xml:space="preserve">No days entered (see column I), </v>
      </c>
      <c r="AB33" s="20" t="str">
        <f t="shared" si="11"/>
        <v/>
      </c>
      <c r="AC33" s="20" t="str">
        <f t="shared" si="14"/>
        <v xml:space="preserve">No Miles Entered (See column J or K), </v>
      </c>
      <c r="AD33" s="20" t="str">
        <f t="shared" si="12"/>
        <v/>
      </c>
      <c r="AE33">
        <f>IF(((J33*L33)-(L33*PAR!$C$29))*PAR!$C$25*I33&gt;AR33,AR33,((J33*L33)-(L33*PAR!$C$29))*PAR!$C$25*I33)</f>
        <v>0</v>
      </c>
      <c r="AF33">
        <f>IF(((K33*M33)-(M33*PAR!$C$29))*PAR!$C$25*I33&gt;AR33,AR33,((K33*M33)-(M33*PAR!$C$29))*PAR!$C$25*I33)</f>
        <v>0</v>
      </c>
      <c r="AG33" s="53">
        <f t="shared" si="15"/>
        <v>0</v>
      </c>
      <c r="AH33" s="88">
        <f>ROUND(IF(AND(H33="Y",J33&lt;=PAR!$C$29),PAR!$C$25*I33,IF(H33="N",0,AE33)),2)</f>
        <v>0</v>
      </c>
      <c r="AI33" s="89">
        <f>IF(E33="Y",((J33*L33)-(L33*PAR!$C$29))*PAR!$C$25*PAR!$C$27*I33,0)</f>
        <v>0</v>
      </c>
      <c r="AJ33" s="89">
        <f>IF(E33="Y",((K33*M33)-(M33*PAR!$C$29))*ROUND(PAR!$C$25*PAR!$C$27,2)*I33,0)</f>
        <v>0</v>
      </c>
      <c r="AK33" s="90">
        <f t="shared" si="16"/>
        <v>0</v>
      </c>
      <c r="AL33">
        <f>IF(F33="Y",((J33*L33)-(L33*PAR!$C$29))*PAR!$C$25*PAR!$C$27*I33,0)</f>
        <v>0</v>
      </c>
      <c r="AM33">
        <f>IF(F33="Y",((K33*M33)-(M33*PAR!$C$29))*PAR!$C$25*PAR!$C$27*I33,0)</f>
        <v>0</v>
      </c>
      <c r="AN33" s="91">
        <f t="shared" si="17"/>
        <v>0</v>
      </c>
      <c r="AO33">
        <f t="shared" si="18"/>
        <v>0</v>
      </c>
      <c r="AP33">
        <f t="shared" si="19"/>
        <v>0</v>
      </c>
      <c r="AQ33" s="103">
        <f t="shared" si="20"/>
        <v>0</v>
      </c>
      <c r="AR33">
        <f>IF(D33=1,PAR!$C$22,IF(D33&gt;1,PAR!$C$22+(D33-1)*PAR!$C$23,0))*I33</f>
        <v>0</v>
      </c>
    </row>
    <row r="34" spans="1:44" x14ac:dyDescent="0.75">
      <c r="A34" s="86" t="s">
        <v>120</v>
      </c>
      <c r="B34" s="35"/>
      <c r="C34" s="35"/>
      <c r="D34" s="35"/>
      <c r="E34" s="38"/>
      <c r="F34" s="38"/>
      <c r="G34" s="38"/>
      <c r="H34" s="38"/>
      <c r="I34" s="35"/>
      <c r="J34" s="52">
        <v>0</v>
      </c>
      <c r="K34" s="52">
        <v>0</v>
      </c>
      <c r="L34" s="52">
        <v>0</v>
      </c>
      <c r="M34" s="52">
        <v>0</v>
      </c>
      <c r="N34" s="18" t="s">
        <v>50</v>
      </c>
      <c r="O34" s="18" t="s">
        <v>50</v>
      </c>
      <c r="P34" s="114" t="str">
        <f t="shared" si="13"/>
        <v>See Comment</v>
      </c>
      <c r="Q34"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4" s="87" t="s">
        <v>422</v>
      </c>
      <c r="S34" s="20" t="str">
        <f t="shared" si="2"/>
        <v/>
      </c>
      <c r="T34" s="20" t="str">
        <f t="shared" si="3"/>
        <v/>
      </c>
      <c r="U34" s="20" t="str">
        <f t="shared" si="4"/>
        <v xml:space="preserve">No Pupils Entered (See column D), </v>
      </c>
      <c r="V34" s="20" t="str">
        <f t="shared" si="5"/>
        <v xml:space="preserve">No Trips Entered (See column L or M), </v>
      </c>
      <c r="W34" s="20" t="str">
        <f t="shared" si="6"/>
        <v xml:space="preserve">Enter Y or N for isolation status, </v>
      </c>
      <c r="X34" s="20" t="str">
        <f t="shared" si="7"/>
        <v xml:space="preserve">Enter Y or N for room &amp; board, </v>
      </c>
      <c r="Y34" s="20" t="str">
        <f t="shared" si="8"/>
        <v xml:space="preserve">Enter Y or N for shared funding, </v>
      </c>
      <c r="Z34" s="20" t="str">
        <f t="shared" si="9"/>
        <v xml:space="preserve">Enter Y or N for SPED with IEP, </v>
      </c>
      <c r="AA34" s="20" t="str">
        <f t="shared" si="10"/>
        <v xml:space="preserve">No days entered (see column I), </v>
      </c>
      <c r="AB34" s="20" t="str">
        <f t="shared" si="11"/>
        <v/>
      </c>
      <c r="AC34" s="20" t="str">
        <f t="shared" si="14"/>
        <v xml:space="preserve">No Miles Entered (See column J or K), </v>
      </c>
      <c r="AD34" s="20" t="str">
        <f t="shared" si="12"/>
        <v/>
      </c>
      <c r="AE34">
        <f>IF(((J34*L34)-(L34*PAR!$C$29))*PAR!$C$25*I34&gt;AR34,AR34,((J34*L34)-(L34*PAR!$C$29))*PAR!$C$25*I34)</f>
        <v>0</v>
      </c>
      <c r="AF34">
        <f>IF(((K34*M34)-(M34*PAR!$C$29))*PAR!$C$25*I34&gt;AR34,AR34,((K34*M34)-(M34*PAR!$C$29))*PAR!$C$25*I34)</f>
        <v>0</v>
      </c>
      <c r="AG34" s="53">
        <f t="shared" si="15"/>
        <v>0</v>
      </c>
      <c r="AH34" s="88">
        <f>ROUND(IF(AND(H34="Y",J34&lt;=PAR!$C$29),PAR!$C$25*I34,IF(H34="N",0,AE34)),2)</f>
        <v>0</v>
      </c>
      <c r="AI34" s="89">
        <f>IF(E34="Y",((J34*L34)-(L34*PAR!$C$29))*PAR!$C$25*PAR!$C$27*I34,0)</f>
        <v>0</v>
      </c>
      <c r="AJ34" s="89">
        <f>IF(E34="Y",((K34*M34)-(M34*PAR!$C$29))*ROUND(PAR!$C$25*PAR!$C$27,2)*I34,0)</f>
        <v>0</v>
      </c>
      <c r="AK34" s="90">
        <f t="shared" si="16"/>
        <v>0</v>
      </c>
      <c r="AL34">
        <f>IF(F34="Y",((J34*L34)-(L34*PAR!$C$29))*PAR!$C$25*PAR!$C$27*I34,0)</f>
        <v>0</v>
      </c>
      <c r="AM34">
        <f>IF(F34="Y",((K34*M34)-(M34*PAR!$C$29))*PAR!$C$25*PAR!$C$27*I34,0)</f>
        <v>0</v>
      </c>
      <c r="AN34" s="91">
        <f t="shared" si="17"/>
        <v>0</v>
      </c>
      <c r="AO34">
        <f t="shared" si="18"/>
        <v>0</v>
      </c>
      <c r="AP34">
        <f t="shared" si="19"/>
        <v>0</v>
      </c>
      <c r="AQ34" s="103">
        <f t="shared" si="20"/>
        <v>0</v>
      </c>
      <c r="AR34">
        <f>IF(D34=1,PAR!$C$22,IF(D34&gt;1,PAR!$C$22+(D34-1)*PAR!$C$23,0))*I34</f>
        <v>0</v>
      </c>
    </row>
    <row r="35" spans="1:44" x14ac:dyDescent="0.75">
      <c r="A35" s="86" t="s">
        <v>121</v>
      </c>
      <c r="B35" s="32"/>
      <c r="C35" s="32"/>
      <c r="D35" s="32"/>
      <c r="E35" s="37"/>
      <c r="F35" s="37"/>
      <c r="G35" s="37"/>
      <c r="H35" s="37"/>
      <c r="I35" s="32"/>
      <c r="J35" s="51">
        <v>0</v>
      </c>
      <c r="K35" s="51">
        <v>0</v>
      </c>
      <c r="L35" s="51">
        <v>0</v>
      </c>
      <c r="M35" s="51">
        <v>0</v>
      </c>
      <c r="N35" s="16" t="s">
        <v>50</v>
      </c>
      <c r="O35" s="16" t="s">
        <v>50</v>
      </c>
      <c r="P35" s="114" t="str">
        <f t="shared" si="13"/>
        <v>See Comment</v>
      </c>
      <c r="Q35"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5" s="87" t="s">
        <v>422</v>
      </c>
      <c r="S35" s="20" t="str">
        <f t="shared" si="2"/>
        <v/>
      </c>
      <c r="T35" s="20" t="str">
        <f t="shared" si="3"/>
        <v/>
      </c>
      <c r="U35" s="20" t="str">
        <f t="shared" si="4"/>
        <v xml:space="preserve">No Pupils Entered (See column D), </v>
      </c>
      <c r="V35" s="20" t="str">
        <f t="shared" si="5"/>
        <v xml:space="preserve">No Trips Entered (See column L or M), </v>
      </c>
      <c r="W35" s="20" t="str">
        <f t="shared" si="6"/>
        <v xml:space="preserve">Enter Y or N for isolation status, </v>
      </c>
      <c r="X35" s="20" t="str">
        <f t="shared" si="7"/>
        <v xml:space="preserve">Enter Y or N for room &amp; board, </v>
      </c>
      <c r="Y35" s="20" t="str">
        <f t="shared" si="8"/>
        <v xml:space="preserve">Enter Y or N for shared funding, </v>
      </c>
      <c r="Z35" s="20" t="str">
        <f t="shared" si="9"/>
        <v xml:space="preserve">Enter Y or N for SPED with IEP, </v>
      </c>
      <c r="AA35" s="20" t="str">
        <f t="shared" si="10"/>
        <v xml:space="preserve">No days entered (see column I), </v>
      </c>
      <c r="AB35" s="20" t="str">
        <f t="shared" si="11"/>
        <v/>
      </c>
      <c r="AC35" s="20" t="str">
        <f t="shared" si="14"/>
        <v xml:space="preserve">No Miles Entered (See column J or K), </v>
      </c>
      <c r="AD35" s="20" t="str">
        <f t="shared" si="12"/>
        <v/>
      </c>
      <c r="AE35">
        <f>IF(((J35*L35)-(L35*PAR!$C$29))*PAR!$C$25*I35&gt;AR35,AR35,((J35*L35)-(L35*PAR!$C$29))*PAR!$C$25*I35)</f>
        <v>0</v>
      </c>
      <c r="AF35">
        <f>IF(((K35*M35)-(M35*PAR!$C$29))*PAR!$C$25*I35&gt;AR35,AR35,((K35*M35)-(M35*PAR!$C$29))*PAR!$C$25*I35)</f>
        <v>0</v>
      </c>
      <c r="AG35" s="53">
        <f t="shared" si="15"/>
        <v>0</v>
      </c>
      <c r="AH35" s="88">
        <f>ROUND(IF(AND(H35="Y",J35&lt;=PAR!$C$29),PAR!$C$25*I35,IF(H35="N",0,AE35)),2)</f>
        <v>0</v>
      </c>
      <c r="AI35" s="89">
        <f>IF(E35="Y",((J35*L35)-(L35*PAR!$C$29))*PAR!$C$25*PAR!$C$27*I35,0)</f>
        <v>0</v>
      </c>
      <c r="AJ35" s="89">
        <f>IF(E35="Y",((K35*M35)-(M35*PAR!$C$29))*ROUND(PAR!$C$25*PAR!$C$27,2)*I35,0)</f>
        <v>0</v>
      </c>
      <c r="AK35" s="90">
        <f t="shared" si="16"/>
        <v>0</v>
      </c>
      <c r="AL35">
        <f>IF(F35="Y",((J35*L35)-(L35*PAR!$C$29))*PAR!$C$25*PAR!$C$27*I35,0)</f>
        <v>0</v>
      </c>
      <c r="AM35">
        <f>IF(F35="Y",((K35*M35)-(M35*PAR!$C$29))*PAR!$C$25*PAR!$C$27*I35,0)</f>
        <v>0</v>
      </c>
      <c r="AN35" s="91">
        <f t="shared" si="17"/>
        <v>0</v>
      </c>
      <c r="AO35">
        <f t="shared" si="18"/>
        <v>0</v>
      </c>
      <c r="AP35">
        <f t="shared" si="19"/>
        <v>0</v>
      </c>
      <c r="AQ35" s="103">
        <f t="shared" si="20"/>
        <v>0</v>
      </c>
      <c r="AR35">
        <f>IF(D35=1,PAR!$C$22,IF(D35&gt;1,PAR!$C$22+(D35-1)*PAR!$C$23,0))*I35</f>
        <v>0</v>
      </c>
    </row>
    <row r="36" spans="1:44" x14ac:dyDescent="0.75">
      <c r="A36" s="86" t="s">
        <v>122</v>
      </c>
      <c r="B36" s="35"/>
      <c r="C36" s="35"/>
      <c r="D36" s="35"/>
      <c r="E36" s="38"/>
      <c r="F36" s="38"/>
      <c r="G36" s="38"/>
      <c r="H36" s="38"/>
      <c r="I36" s="35"/>
      <c r="J36" s="52">
        <v>0</v>
      </c>
      <c r="K36" s="52">
        <v>0</v>
      </c>
      <c r="L36" s="52">
        <v>0</v>
      </c>
      <c r="M36" s="52">
        <v>0</v>
      </c>
      <c r="N36" s="18" t="s">
        <v>50</v>
      </c>
      <c r="O36" s="18" t="s">
        <v>50</v>
      </c>
      <c r="P36" s="114" t="str">
        <f t="shared" si="13"/>
        <v>See Comment</v>
      </c>
      <c r="Q36"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6" s="87" t="s">
        <v>422</v>
      </c>
      <c r="S36" s="20" t="str">
        <f t="shared" si="2"/>
        <v/>
      </c>
      <c r="T36" s="20" t="str">
        <f t="shared" si="3"/>
        <v/>
      </c>
      <c r="U36" s="20" t="str">
        <f t="shared" si="4"/>
        <v xml:space="preserve">No Pupils Entered (See column D), </v>
      </c>
      <c r="V36" s="20" t="str">
        <f t="shared" si="5"/>
        <v xml:space="preserve">No Trips Entered (See column L or M), </v>
      </c>
      <c r="W36" s="20" t="str">
        <f t="shared" si="6"/>
        <v xml:space="preserve">Enter Y or N for isolation status, </v>
      </c>
      <c r="X36" s="20" t="str">
        <f t="shared" si="7"/>
        <v xml:space="preserve">Enter Y or N for room &amp; board, </v>
      </c>
      <c r="Y36" s="20" t="str">
        <f t="shared" si="8"/>
        <v xml:space="preserve">Enter Y or N for shared funding, </v>
      </c>
      <c r="Z36" s="20" t="str">
        <f t="shared" si="9"/>
        <v xml:space="preserve">Enter Y or N for SPED with IEP, </v>
      </c>
      <c r="AA36" s="20" t="str">
        <f t="shared" si="10"/>
        <v xml:space="preserve">No days entered (see column I), </v>
      </c>
      <c r="AB36" s="20" t="str">
        <f t="shared" si="11"/>
        <v/>
      </c>
      <c r="AC36" s="20" t="str">
        <f t="shared" si="14"/>
        <v xml:space="preserve">No Miles Entered (See column J or K), </v>
      </c>
      <c r="AD36" s="20" t="str">
        <f t="shared" si="12"/>
        <v/>
      </c>
      <c r="AE36">
        <f>IF(((J36*L36)-(L36*PAR!$C$29))*PAR!$C$25*I36&gt;AR36,AR36,((J36*L36)-(L36*PAR!$C$29))*PAR!$C$25*I36)</f>
        <v>0</v>
      </c>
      <c r="AF36">
        <f>IF(((K36*M36)-(M36*PAR!$C$29))*PAR!$C$25*I36&gt;AR36,AR36,((K36*M36)-(M36*PAR!$C$29))*PAR!$C$25*I36)</f>
        <v>0</v>
      </c>
      <c r="AG36" s="53">
        <f t="shared" si="15"/>
        <v>0</v>
      </c>
      <c r="AH36" s="88">
        <f>ROUND(IF(AND(H36="Y",J36&lt;=PAR!$C$29),PAR!$C$25*I36,IF(H36="N",0,AE36)),2)</f>
        <v>0</v>
      </c>
      <c r="AI36" s="89">
        <f>IF(E36="Y",((J36*L36)-(L36*PAR!$C$29))*PAR!$C$25*PAR!$C$27*I36,0)</f>
        <v>0</v>
      </c>
      <c r="AJ36" s="89">
        <f>IF(E36="Y",((K36*M36)-(M36*PAR!$C$29))*ROUND(PAR!$C$25*PAR!$C$27,2)*I36,0)</f>
        <v>0</v>
      </c>
      <c r="AK36" s="90">
        <f t="shared" si="16"/>
        <v>0</v>
      </c>
      <c r="AL36">
        <f>IF(F36="Y",((J36*L36)-(L36*PAR!$C$29))*PAR!$C$25*PAR!$C$27*I36,0)</f>
        <v>0</v>
      </c>
      <c r="AM36">
        <f>IF(F36="Y",((K36*M36)-(M36*PAR!$C$29))*PAR!$C$25*PAR!$C$27*I36,0)</f>
        <v>0</v>
      </c>
      <c r="AN36" s="91">
        <f t="shared" si="17"/>
        <v>0</v>
      </c>
      <c r="AO36">
        <f t="shared" si="18"/>
        <v>0</v>
      </c>
      <c r="AP36">
        <f t="shared" si="19"/>
        <v>0</v>
      </c>
      <c r="AQ36" s="103">
        <f t="shared" si="20"/>
        <v>0</v>
      </c>
      <c r="AR36">
        <f>IF(D36=1,PAR!$C$22,IF(D36&gt;1,PAR!$C$22+(D36-1)*PAR!$C$23,0))*I36</f>
        <v>0</v>
      </c>
    </row>
    <row r="37" spans="1:44" x14ac:dyDescent="0.75">
      <c r="A37" s="86" t="s">
        <v>123</v>
      </c>
      <c r="B37" s="32"/>
      <c r="C37" s="32"/>
      <c r="D37" s="32"/>
      <c r="E37" s="37"/>
      <c r="F37" s="37"/>
      <c r="G37" s="37"/>
      <c r="H37" s="37"/>
      <c r="I37" s="32"/>
      <c r="J37" s="51">
        <v>0</v>
      </c>
      <c r="K37" s="51">
        <v>0</v>
      </c>
      <c r="L37" s="51">
        <v>0</v>
      </c>
      <c r="M37" s="51">
        <v>0</v>
      </c>
      <c r="N37" s="16" t="s">
        <v>50</v>
      </c>
      <c r="O37" s="16" t="s">
        <v>50</v>
      </c>
      <c r="P37" s="114" t="str">
        <f t="shared" si="13"/>
        <v>See Comment</v>
      </c>
      <c r="Q37"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7" s="87" t="s">
        <v>422</v>
      </c>
      <c r="S37" s="20" t="str">
        <f t="shared" si="2"/>
        <v/>
      </c>
      <c r="T37" s="20" t="str">
        <f t="shared" si="3"/>
        <v/>
      </c>
      <c r="U37" s="20" t="str">
        <f t="shared" si="4"/>
        <v xml:space="preserve">No Pupils Entered (See column D), </v>
      </c>
      <c r="V37" s="20" t="str">
        <f t="shared" si="5"/>
        <v xml:space="preserve">No Trips Entered (See column L or M), </v>
      </c>
      <c r="W37" s="20" t="str">
        <f t="shared" si="6"/>
        <v xml:space="preserve">Enter Y or N for isolation status, </v>
      </c>
      <c r="X37" s="20" t="str">
        <f t="shared" si="7"/>
        <v xml:space="preserve">Enter Y or N for room &amp; board, </v>
      </c>
      <c r="Y37" s="20" t="str">
        <f t="shared" si="8"/>
        <v xml:space="preserve">Enter Y or N for shared funding, </v>
      </c>
      <c r="Z37" s="20" t="str">
        <f t="shared" si="9"/>
        <v xml:space="preserve">Enter Y or N for SPED with IEP, </v>
      </c>
      <c r="AA37" s="20" t="str">
        <f t="shared" si="10"/>
        <v xml:space="preserve">No days entered (see column I), </v>
      </c>
      <c r="AB37" s="20" t="str">
        <f t="shared" si="11"/>
        <v/>
      </c>
      <c r="AC37" s="20" t="str">
        <f t="shared" si="14"/>
        <v xml:space="preserve">No Miles Entered (See column J or K), </v>
      </c>
      <c r="AD37" s="20" t="str">
        <f t="shared" si="12"/>
        <v/>
      </c>
      <c r="AE37">
        <f>IF(((J37*L37)-(L37*PAR!$C$29))*PAR!$C$25*I37&gt;AR37,AR37,((J37*L37)-(L37*PAR!$C$29))*PAR!$C$25*I37)</f>
        <v>0</v>
      </c>
      <c r="AF37">
        <f>IF(((K37*M37)-(M37*PAR!$C$29))*PAR!$C$25*I37&gt;AR37,AR37,((K37*M37)-(M37*PAR!$C$29))*PAR!$C$25*I37)</f>
        <v>0</v>
      </c>
      <c r="AG37" s="53">
        <f t="shared" si="15"/>
        <v>0</v>
      </c>
      <c r="AH37" s="88">
        <f>ROUND(IF(AND(H37="Y",J37&lt;=PAR!$C$29),PAR!$C$25*I37,IF(H37="N",0,AE37)),2)</f>
        <v>0</v>
      </c>
      <c r="AI37" s="89">
        <f>IF(E37="Y",((J37*L37)-(L37*PAR!$C$29))*PAR!$C$25*PAR!$C$27*I37,0)</f>
        <v>0</v>
      </c>
      <c r="AJ37" s="89">
        <f>IF(E37="Y",((K37*M37)-(M37*PAR!$C$29))*ROUND(PAR!$C$25*PAR!$C$27,2)*I37,0)</f>
        <v>0</v>
      </c>
      <c r="AK37" s="90">
        <f t="shared" si="16"/>
        <v>0</v>
      </c>
      <c r="AL37">
        <f>IF(F37="Y",((J37*L37)-(L37*PAR!$C$29))*PAR!$C$25*PAR!$C$27*I37,0)</f>
        <v>0</v>
      </c>
      <c r="AM37">
        <f>IF(F37="Y",((K37*M37)-(M37*PAR!$C$29))*PAR!$C$25*PAR!$C$27*I37,0)</f>
        <v>0</v>
      </c>
      <c r="AN37" s="91">
        <f t="shared" si="17"/>
        <v>0</v>
      </c>
      <c r="AO37">
        <f t="shared" si="18"/>
        <v>0</v>
      </c>
      <c r="AP37">
        <f t="shared" si="19"/>
        <v>0</v>
      </c>
      <c r="AQ37" s="103">
        <f t="shared" si="20"/>
        <v>0</v>
      </c>
      <c r="AR37">
        <f>IF(D37=1,PAR!$C$22,IF(D37&gt;1,PAR!$C$22+(D37-1)*PAR!$C$23,0))*I37</f>
        <v>0</v>
      </c>
    </row>
    <row r="38" spans="1:44" x14ac:dyDescent="0.75">
      <c r="A38" s="86" t="s">
        <v>124</v>
      </c>
      <c r="B38" s="35"/>
      <c r="C38" s="35"/>
      <c r="D38" s="35"/>
      <c r="E38" s="38"/>
      <c r="F38" s="38"/>
      <c r="G38" s="38"/>
      <c r="H38" s="38"/>
      <c r="I38" s="35"/>
      <c r="J38" s="52">
        <v>0</v>
      </c>
      <c r="K38" s="52">
        <v>0</v>
      </c>
      <c r="L38" s="52">
        <v>0</v>
      </c>
      <c r="M38" s="52">
        <v>0</v>
      </c>
      <c r="N38" s="18" t="s">
        <v>50</v>
      </c>
      <c r="O38" s="18" t="s">
        <v>50</v>
      </c>
      <c r="P38" s="114" t="str">
        <f t="shared" si="13"/>
        <v>See Comment</v>
      </c>
      <c r="Q38"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8" s="87" t="s">
        <v>422</v>
      </c>
      <c r="S38" s="20" t="str">
        <f t="shared" si="2"/>
        <v/>
      </c>
      <c r="T38" s="20" t="str">
        <f t="shared" si="3"/>
        <v/>
      </c>
      <c r="U38" s="20" t="str">
        <f t="shared" si="4"/>
        <v xml:space="preserve">No Pupils Entered (See column D), </v>
      </c>
      <c r="V38" s="20" t="str">
        <f t="shared" si="5"/>
        <v xml:space="preserve">No Trips Entered (See column L or M), </v>
      </c>
      <c r="W38" s="20" t="str">
        <f t="shared" si="6"/>
        <v xml:space="preserve">Enter Y or N for isolation status, </v>
      </c>
      <c r="X38" s="20" t="str">
        <f t="shared" si="7"/>
        <v xml:space="preserve">Enter Y or N for room &amp; board, </v>
      </c>
      <c r="Y38" s="20" t="str">
        <f t="shared" si="8"/>
        <v xml:space="preserve">Enter Y or N for shared funding, </v>
      </c>
      <c r="Z38" s="20" t="str">
        <f t="shared" si="9"/>
        <v xml:space="preserve">Enter Y or N for SPED with IEP, </v>
      </c>
      <c r="AA38" s="20" t="str">
        <f t="shared" si="10"/>
        <v xml:space="preserve">No days entered (see column I), </v>
      </c>
      <c r="AB38" s="20" t="str">
        <f t="shared" si="11"/>
        <v/>
      </c>
      <c r="AC38" s="20" t="str">
        <f t="shared" si="14"/>
        <v xml:space="preserve">No Miles Entered (See column J or K), </v>
      </c>
      <c r="AD38" s="20" t="str">
        <f t="shared" si="12"/>
        <v/>
      </c>
      <c r="AE38">
        <f>IF(((J38*L38)-(L38*PAR!$C$29))*PAR!$C$25*I38&gt;AR38,AR38,((J38*L38)-(L38*PAR!$C$29))*PAR!$C$25*I38)</f>
        <v>0</v>
      </c>
      <c r="AF38">
        <f>IF(((K38*M38)-(M38*PAR!$C$29))*PAR!$C$25*I38&gt;AR38,AR38,((K38*M38)-(M38*PAR!$C$29))*PAR!$C$25*I38)</f>
        <v>0</v>
      </c>
      <c r="AG38" s="53">
        <f t="shared" si="15"/>
        <v>0</v>
      </c>
      <c r="AH38" s="88">
        <f>ROUND(IF(AND(H38="Y",J38&lt;=PAR!$C$29),PAR!$C$25*I38,IF(H38="N",0,AE38)),2)</f>
        <v>0</v>
      </c>
      <c r="AI38" s="89">
        <f>IF(E38="Y",((J38*L38)-(L38*PAR!$C$29))*PAR!$C$25*PAR!$C$27*I38,0)</f>
        <v>0</v>
      </c>
      <c r="AJ38" s="89">
        <f>IF(E38="Y",((K38*M38)-(M38*PAR!$C$29))*ROUND(PAR!$C$25*PAR!$C$27,2)*I38,0)</f>
        <v>0</v>
      </c>
      <c r="AK38" s="90">
        <f t="shared" si="16"/>
        <v>0</v>
      </c>
      <c r="AL38">
        <f>IF(F38="Y",((J38*L38)-(L38*PAR!$C$29))*PAR!$C$25*PAR!$C$27*I38,0)</f>
        <v>0</v>
      </c>
      <c r="AM38">
        <f>IF(F38="Y",((K38*M38)-(M38*PAR!$C$29))*PAR!$C$25*PAR!$C$27*I38,0)</f>
        <v>0</v>
      </c>
      <c r="AN38" s="91">
        <f t="shared" si="17"/>
        <v>0</v>
      </c>
      <c r="AO38">
        <f t="shared" si="18"/>
        <v>0</v>
      </c>
      <c r="AP38">
        <f t="shared" si="19"/>
        <v>0</v>
      </c>
      <c r="AQ38" s="103">
        <f t="shared" si="20"/>
        <v>0</v>
      </c>
      <c r="AR38">
        <f>IF(D38=1,PAR!$C$22,IF(D38&gt;1,PAR!$C$22+(D38-1)*PAR!$C$23,0))*I38</f>
        <v>0</v>
      </c>
    </row>
    <row r="39" spans="1:44" x14ac:dyDescent="0.75">
      <c r="A39" s="86" t="s">
        <v>125</v>
      </c>
      <c r="B39" s="32"/>
      <c r="C39" s="32"/>
      <c r="D39" s="32"/>
      <c r="E39" s="37"/>
      <c r="F39" s="37"/>
      <c r="G39" s="37"/>
      <c r="H39" s="37"/>
      <c r="I39" s="32"/>
      <c r="J39" s="51">
        <v>0</v>
      </c>
      <c r="K39" s="51">
        <v>0</v>
      </c>
      <c r="L39" s="51">
        <v>0</v>
      </c>
      <c r="M39" s="51">
        <v>0</v>
      </c>
      <c r="N39" s="16" t="s">
        <v>50</v>
      </c>
      <c r="O39" s="16" t="s">
        <v>50</v>
      </c>
      <c r="P39" s="114" t="str">
        <f t="shared" si="13"/>
        <v>See Comment</v>
      </c>
      <c r="Q39"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9" s="87" t="s">
        <v>422</v>
      </c>
      <c r="S39" s="20" t="str">
        <f t="shared" si="2"/>
        <v/>
      </c>
      <c r="T39" s="20" t="str">
        <f t="shared" si="3"/>
        <v/>
      </c>
      <c r="U39" s="20" t="str">
        <f t="shared" si="4"/>
        <v xml:space="preserve">No Pupils Entered (See column D), </v>
      </c>
      <c r="V39" s="20" t="str">
        <f t="shared" si="5"/>
        <v xml:space="preserve">No Trips Entered (See column L or M), </v>
      </c>
      <c r="W39" s="20" t="str">
        <f t="shared" si="6"/>
        <v xml:space="preserve">Enter Y or N for isolation status, </v>
      </c>
      <c r="X39" s="20" t="str">
        <f t="shared" si="7"/>
        <v xml:space="preserve">Enter Y or N for room &amp; board, </v>
      </c>
      <c r="Y39" s="20" t="str">
        <f t="shared" si="8"/>
        <v xml:space="preserve">Enter Y or N for shared funding, </v>
      </c>
      <c r="Z39" s="20" t="str">
        <f t="shared" si="9"/>
        <v xml:space="preserve">Enter Y or N for SPED with IEP, </v>
      </c>
      <c r="AA39" s="20" t="str">
        <f t="shared" si="10"/>
        <v xml:space="preserve">No days entered (see column I), </v>
      </c>
      <c r="AB39" s="20" t="str">
        <f t="shared" si="11"/>
        <v/>
      </c>
      <c r="AC39" s="20" t="str">
        <f t="shared" si="14"/>
        <v xml:space="preserve">No Miles Entered (See column J or K), </v>
      </c>
      <c r="AD39" s="20" t="str">
        <f t="shared" si="12"/>
        <v/>
      </c>
      <c r="AE39">
        <f>IF(((J39*L39)-(L39*PAR!$C$29))*PAR!$C$25*I39&gt;AR39,AR39,((J39*L39)-(L39*PAR!$C$29))*PAR!$C$25*I39)</f>
        <v>0</v>
      </c>
      <c r="AF39">
        <f>IF(((K39*M39)-(M39*PAR!$C$29))*PAR!$C$25*I39&gt;AR39,AR39,((K39*M39)-(M39*PAR!$C$29))*PAR!$C$25*I39)</f>
        <v>0</v>
      </c>
      <c r="AG39" s="53">
        <f t="shared" si="15"/>
        <v>0</v>
      </c>
      <c r="AH39" s="88">
        <f>ROUND(IF(AND(H39="Y",J39&lt;=PAR!$C$29),PAR!$C$25*I39,IF(H39="N",0,AE39)),2)</f>
        <v>0</v>
      </c>
      <c r="AI39" s="89">
        <f>IF(E39="Y",((J39*L39)-(L39*PAR!$C$29))*PAR!$C$25*PAR!$C$27*I39,0)</f>
        <v>0</v>
      </c>
      <c r="AJ39" s="89">
        <f>IF(E39="Y",((K39*M39)-(M39*PAR!$C$29))*ROUND(PAR!$C$25*PAR!$C$27,2)*I39,0)</f>
        <v>0</v>
      </c>
      <c r="AK39" s="90">
        <f t="shared" si="16"/>
        <v>0</v>
      </c>
      <c r="AL39">
        <f>IF(F39="Y",((J39*L39)-(L39*PAR!$C$29))*PAR!$C$25*PAR!$C$27*I39,0)</f>
        <v>0</v>
      </c>
      <c r="AM39">
        <f>IF(F39="Y",((K39*M39)-(M39*PAR!$C$29))*PAR!$C$25*PAR!$C$27*I39,0)</f>
        <v>0</v>
      </c>
      <c r="AN39" s="91">
        <f t="shared" si="17"/>
        <v>0</v>
      </c>
      <c r="AO39">
        <f t="shared" si="18"/>
        <v>0</v>
      </c>
      <c r="AP39">
        <f t="shared" si="19"/>
        <v>0</v>
      </c>
      <c r="AQ39" s="103">
        <f t="shared" si="20"/>
        <v>0</v>
      </c>
      <c r="AR39">
        <f>IF(D39=1,PAR!$C$22,IF(D39&gt;1,PAR!$C$22+(D39-1)*PAR!$C$23,0))*I39</f>
        <v>0</v>
      </c>
    </row>
    <row r="40" spans="1:44" x14ac:dyDescent="0.75">
      <c r="A40" s="86" t="s">
        <v>126</v>
      </c>
      <c r="B40" s="35"/>
      <c r="C40" s="35"/>
      <c r="D40" s="35"/>
      <c r="E40" s="38"/>
      <c r="F40" s="38"/>
      <c r="G40" s="38"/>
      <c r="H40" s="38"/>
      <c r="I40" s="35"/>
      <c r="J40" s="52">
        <v>0</v>
      </c>
      <c r="K40" s="52">
        <v>0</v>
      </c>
      <c r="L40" s="52">
        <v>0</v>
      </c>
      <c r="M40" s="52">
        <v>0</v>
      </c>
      <c r="N40" s="18"/>
      <c r="O40" s="18"/>
      <c r="P40" s="114" t="str">
        <f t="shared" si="13"/>
        <v>See Comment</v>
      </c>
      <c r="Q40"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0" s="87" t="s">
        <v>422</v>
      </c>
      <c r="S40" s="20" t="str">
        <f t="shared" si="2"/>
        <v/>
      </c>
      <c r="T40" s="20" t="str">
        <f t="shared" si="3"/>
        <v/>
      </c>
      <c r="U40" s="20" t="str">
        <f t="shared" si="4"/>
        <v xml:space="preserve">No Pupils Entered (See column D), </v>
      </c>
      <c r="V40" s="20" t="str">
        <f t="shared" si="5"/>
        <v xml:space="preserve">No Trips Entered (See column L or M), </v>
      </c>
      <c r="W40" s="20" t="str">
        <f t="shared" si="6"/>
        <v xml:space="preserve">Enter Y or N for isolation status, </v>
      </c>
      <c r="X40" s="20" t="str">
        <f t="shared" si="7"/>
        <v xml:space="preserve">Enter Y or N for room &amp; board, </v>
      </c>
      <c r="Y40" s="20" t="str">
        <f t="shared" si="8"/>
        <v xml:space="preserve">Enter Y or N for shared funding, </v>
      </c>
      <c r="Z40" s="20" t="str">
        <f t="shared" si="9"/>
        <v xml:space="preserve">Enter Y or N for SPED with IEP, </v>
      </c>
      <c r="AA40" s="20" t="str">
        <f t="shared" si="10"/>
        <v xml:space="preserve">No days entered (see column I), </v>
      </c>
      <c r="AB40" s="20" t="str">
        <f t="shared" si="11"/>
        <v/>
      </c>
      <c r="AC40" s="20" t="str">
        <f t="shared" si="14"/>
        <v xml:space="preserve">No Miles Entered (See column J or K), </v>
      </c>
      <c r="AD40" s="20" t="str">
        <f t="shared" si="12"/>
        <v/>
      </c>
      <c r="AE40">
        <f>IF(((J40*L40)-(L40*PAR!$C$29))*PAR!$C$25*I40&gt;AR40,AR40,((J40*L40)-(L40*PAR!$C$29))*PAR!$C$25*I40)</f>
        <v>0</v>
      </c>
      <c r="AF40">
        <f>IF(((K40*M40)-(M40*PAR!$C$29))*PAR!$C$25*I40&gt;AR40,AR40,((K40*M40)-(M40*PAR!$C$29))*PAR!$C$25*I40)</f>
        <v>0</v>
      </c>
      <c r="AG40" s="53">
        <f t="shared" si="15"/>
        <v>0</v>
      </c>
      <c r="AH40" s="88">
        <f>ROUND(IF(AND(H40="Y",J40&lt;=PAR!$C$29),PAR!$C$25*I40,IF(H40="N",0,AE40)),2)</f>
        <v>0</v>
      </c>
      <c r="AI40" s="89">
        <f>IF(E40="Y",((J40*L40)-(L40*PAR!$C$29))*PAR!$C$25*PAR!$C$27*I40,0)</f>
        <v>0</v>
      </c>
      <c r="AJ40" s="89">
        <f>IF(E40="Y",((K40*M40)-(M40*PAR!$C$29))*ROUND(PAR!$C$25*PAR!$C$27,2)*I40,0)</f>
        <v>0</v>
      </c>
      <c r="AK40" s="90">
        <f t="shared" si="16"/>
        <v>0</v>
      </c>
      <c r="AL40">
        <f>IF(F40="Y",((J40*L40)-(L40*PAR!$C$29))*PAR!$C$25*PAR!$C$27*I40,0)</f>
        <v>0</v>
      </c>
      <c r="AM40">
        <f>IF(F40="Y",((K40*M40)-(M40*PAR!$C$29))*PAR!$C$25*PAR!$C$27*I40,0)</f>
        <v>0</v>
      </c>
      <c r="AN40" s="91">
        <f t="shared" si="17"/>
        <v>0</v>
      </c>
      <c r="AO40">
        <f t="shared" si="18"/>
        <v>0</v>
      </c>
      <c r="AP40">
        <f t="shared" si="19"/>
        <v>0</v>
      </c>
      <c r="AQ40" s="103">
        <f t="shared" si="20"/>
        <v>0</v>
      </c>
      <c r="AR40">
        <f>IF(D40=1,PAR!$C$22,IF(D40&gt;1,PAR!$C$22+(D40-1)*PAR!$C$23,0))*I40</f>
        <v>0</v>
      </c>
    </row>
    <row r="41" spans="1:44" x14ac:dyDescent="0.75">
      <c r="A41" s="86" t="s">
        <v>127</v>
      </c>
      <c r="B41" s="32"/>
      <c r="C41" s="32"/>
      <c r="D41" s="32"/>
      <c r="E41" s="37"/>
      <c r="F41" s="37"/>
      <c r="G41" s="37"/>
      <c r="H41" s="37"/>
      <c r="I41" s="32"/>
      <c r="J41" s="51">
        <v>0</v>
      </c>
      <c r="K41" s="51">
        <v>0</v>
      </c>
      <c r="L41" s="51">
        <v>0</v>
      </c>
      <c r="M41" s="51">
        <v>0</v>
      </c>
      <c r="N41" s="16"/>
      <c r="O41" s="16"/>
      <c r="P41" s="114" t="str">
        <f t="shared" si="13"/>
        <v>See Comment</v>
      </c>
      <c r="Q41" s="97"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1" s="87" t="s">
        <v>422</v>
      </c>
      <c r="S41" s="20" t="str">
        <f t="shared" si="2"/>
        <v/>
      </c>
      <c r="T41" s="20" t="str">
        <f t="shared" si="3"/>
        <v/>
      </c>
      <c r="U41" s="20" t="str">
        <f t="shared" si="4"/>
        <v xml:space="preserve">No Pupils Entered (See column D), </v>
      </c>
      <c r="V41" s="20" t="str">
        <f t="shared" si="5"/>
        <v xml:space="preserve">No Trips Entered (See column L or M), </v>
      </c>
      <c r="W41" s="20" t="str">
        <f t="shared" si="6"/>
        <v xml:space="preserve">Enter Y or N for isolation status, </v>
      </c>
      <c r="X41" s="20" t="str">
        <f t="shared" si="7"/>
        <v xml:space="preserve">Enter Y or N for room &amp; board, </v>
      </c>
      <c r="Y41" s="20" t="str">
        <f t="shared" si="8"/>
        <v xml:space="preserve">Enter Y or N for shared funding, </v>
      </c>
      <c r="Z41" s="20" t="str">
        <f t="shared" si="9"/>
        <v xml:space="preserve">Enter Y or N for SPED with IEP, </v>
      </c>
      <c r="AA41" s="20" t="str">
        <f t="shared" si="10"/>
        <v xml:space="preserve">No days entered (see column I), </v>
      </c>
      <c r="AB41" s="20" t="str">
        <f t="shared" si="11"/>
        <v/>
      </c>
      <c r="AC41" s="20" t="str">
        <f t="shared" si="14"/>
        <v xml:space="preserve">No Miles Entered (See column J or K), </v>
      </c>
      <c r="AD41" s="20" t="str">
        <f t="shared" si="12"/>
        <v/>
      </c>
      <c r="AE41">
        <f>IF(((J41*L41)-(L41*PAR!$C$29))*PAR!$C$25*I41&gt;AR41,AR41,((J41*L41)-(L41*PAR!$C$29))*PAR!$C$25*I41)</f>
        <v>0</v>
      </c>
      <c r="AF41">
        <f>IF(((K41*M41)-(M41*PAR!$C$29))*PAR!$C$25*I41&gt;AR41,AR41,((K41*M41)-(M41*PAR!$C$29))*PAR!$C$25*I41)</f>
        <v>0</v>
      </c>
      <c r="AG41" s="53">
        <f t="shared" si="15"/>
        <v>0</v>
      </c>
      <c r="AH41" s="88">
        <f>ROUND(IF(AND(H41="Y",J41&lt;=PAR!$C$29),PAR!$C$25*I41,IF(H41="N",0,AE41)),2)</f>
        <v>0</v>
      </c>
      <c r="AI41" s="89">
        <f>IF(E41="Y",((J41*L41)-(L41*PAR!$C$29))*PAR!$C$25*PAR!$C$27*I41,0)</f>
        <v>0</v>
      </c>
      <c r="AJ41" s="89">
        <f>IF(E41="Y",((K41*M41)-(M41*PAR!$C$29))*ROUND(PAR!$C$25*PAR!$C$27,2)*I41,0)</f>
        <v>0</v>
      </c>
      <c r="AK41" s="90">
        <f t="shared" si="16"/>
        <v>0</v>
      </c>
      <c r="AL41">
        <f>IF(F41="Y",((J41*L41)-(L41*PAR!$C$29))*PAR!$C$25*PAR!$C$27*I41,0)</f>
        <v>0</v>
      </c>
      <c r="AM41">
        <f>IF(F41="Y",((K41*M41)-(M41*PAR!$C$29))*PAR!$C$25*PAR!$C$27*I41,0)</f>
        <v>0</v>
      </c>
      <c r="AN41" s="91">
        <f t="shared" si="17"/>
        <v>0</v>
      </c>
      <c r="AO41">
        <f t="shared" si="18"/>
        <v>0</v>
      </c>
      <c r="AP41">
        <f t="shared" si="19"/>
        <v>0</v>
      </c>
      <c r="AQ41" s="103">
        <f t="shared" si="20"/>
        <v>0</v>
      </c>
      <c r="AR41">
        <f>IF(D41=1,PAR!$C$22,IF(D41&gt;1,PAR!$C$22+(D41-1)*PAR!$C$23,0))*I41</f>
        <v>0</v>
      </c>
    </row>
  </sheetData>
  <sheetProtection selectLockedCells="1"/>
  <mergeCells count="16">
    <mergeCell ref="B9:C9"/>
    <mergeCell ref="J8:K8"/>
    <mergeCell ref="L8:M8"/>
    <mergeCell ref="B1:M1"/>
    <mergeCell ref="N9:O9"/>
    <mergeCell ref="E2:I2"/>
    <mergeCell ref="E3:I3"/>
    <mergeCell ref="E4:I4"/>
    <mergeCell ref="E5:I5"/>
    <mergeCell ref="E6:I6"/>
    <mergeCell ref="N1:Q1"/>
    <mergeCell ref="P2:Q2"/>
    <mergeCell ref="P3:Q3"/>
    <mergeCell ref="P4:Q4"/>
    <mergeCell ref="P5:Q5"/>
    <mergeCell ref="P6:Q6"/>
  </mergeCells>
  <conditionalFormatting sqref="P13:P41">
    <cfRule type="containsText" dxfId="0" priority="1" operator="containsText" text="See Comment">
      <formula>NOT(ISERROR(SEARCH("See Comment",P13)))</formula>
    </cfRule>
  </conditionalFormatting>
  <printOptions horizontalCentered="1" verticalCentered="1"/>
  <pageMargins left="0.25" right="0.25" top="0.75" bottom="0.75" header="0.3" footer="0.3"/>
  <pageSetup scale="83" pageOrder="overThenDown" orientation="landscape" r:id="rId1"/>
  <colBreaks count="1" manualBreakCount="1">
    <brk id="13"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PAR!$E$7:$E$9</xm:f>
          </x14:formula1>
          <xm:sqref>E13:H41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zoomScaleNormal="100" workbookViewId="0">
      <selection activeCell="C14" sqref="C14"/>
    </sheetView>
  </sheetViews>
  <sheetFormatPr defaultRowHeight="14.75" x14ac:dyDescent="0.75"/>
  <cols>
    <col min="1" max="1" width="2" customWidth="1"/>
    <col min="2" max="2" width="38.40625" bestFit="1" customWidth="1"/>
    <col min="3" max="3" width="17.453125" customWidth="1"/>
    <col min="4" max="4" width="53.26953125" customWidth="1"/>
  </cols>
  <sheetData>
    <row r="1" spans="1:4" ht="18.5" x14ac:dyDescent="0.9">
      <c r="A1" s="136" t="s">
        <v>413</v>
      </c>
      <c r="B1" s="136"/>
      <c r="C1" s="136"/>
      <c r="D1" s="136"/>
    </row>
    <row r="2" spans="1:4" x14ac:dyDescent="0.75">
      <c r="B2" s="1" t="s">
        <v>49</v>
      </c>
      <c r="C2" s="155" t="str">
        <f>IF('Bus Routes'!D2="","",'Bus Routes'!D2)</f>
        <v/>
      </c>
      <c r="D2" s="158"/>
    </row>
    <row r="3" spans="1:4" x14ac:dyDescent="0.75">
      <c r="B3" s="1" t="s">
        <v>51</v>
      </c>
      <c r="C3" s="155" t="str">
        <f>IF('Bus Routes'!D3="","",'Bus Routes'!D3)</f>
        <v/>
      </c>
      <c r="D3" s="158"/>
    </row>
    <row r="4" spans="1:4" x14ac:dyDescent="0.75">
      <c r="B4" s="1" t="s">
        <v>52</v>
      </c>
      <c r="C4" s="155" t="str">
        <f>IF('Bus Routes'!D4="","",'Bus Routes'!D4)</f>
        <v/>
      </c>
      <c r="D4" s="158"/>
    </row>
    <row r="5" spans="1:4" x14ac:dyDescent="0.75">
      <c r="B5" s="1" t="s">
        <v>389</v>
      </c>
      <c r="C5" s="155" t="str">
        <f>IF('Bus Routes'!D5="","",'Bus Routes'!D5)</f>
        <v/>
      </c>
      <c r="D5" s="158"/>
    </row>
    <row r="6" spans="1:4" x14ac:dyDescent="0.75">
      <c r="B6" s="1" t="s">
        <v>390</v>
      </c>
      <c r="C6" s="155" t="str">
        <f>IF('Bus Routes'!D6="","",'Bus Routes'!D6)</f>
        <v/>
      </c>
      <c r="D6" s="158"/>
    </row>
    <row r="9" spans="1:4" x14ac:dyDescent="0.75">
      <c r="B9" s="1" t="s">
        <v>414</v>
      </c>
      <c r="C9" s="64">
        <f>'Bus Routes'!Z13</f>
        <v>0</v>
      </c>
    </row>
    <row r="10" spans="1:4" ht="15.5" thickBot="1" x14ac:dyDescent="0.9">
      <c r="B10" s="1" t="s">
        <v>415</v>
      </c>
      <c r="C10" s="31">
        <f>'Individual Contracts'!P12</f>
        <v>0</v>
      </c>
    </row>
    <row r="11" spans="1:4" ht="15.5" thickTop="1" x14ac:dyDescent="0.75">
      <c r="B11" s="1"/>
      <c r="C11" s="30"/>
    </row>
    <row r="12" spans="1:4" ht="15.5" thickBot="1" x14ac:dyDescent="0.9">
      <c r="B12" s="1" t="s">
        <v>416</v>
      </c>
      <c r="C12" s="31">
        <f>SUM(C9:C10)</f>
        <v>0</v>
      </c>
      <c r="D12" t="s">
        <v>408</v>
      </c>
    </row>
    <row r="13" spans="1:4" ht="15.5" thickTop="1" x14ac:dyDescent="0.75">
      <c r="B13" s="1"/>
      <c r="C13" s="30"/>
    </row>
    <row r="14" spans="1:4" ht="15.5" thickBot="1" x14ac:dyDescent="0.9">
      <c r="B14" s="1" t="s">
        <v>417</v>
      </c>
      <c r="C14" s="39">
        <v>0</v>
      </c>
      <c r="D14" t="s">
        <v>420</v>
      </c>
    </row>
    <row r="15" spans="1:4" ht="15.5" thickTop="1" x14ac:dyDescent="0.75">
      <c r="B15" s="1"/>
      <c r="C15" s="30"/>
    </row>
    <row r="16" spans="1:4" ht="15.5" thickBot="1" x14ac:dyDescent="0.9">
      <c r="B16" s="1" t="s">
        <v>418</v>
      </c>
      <c r="C16" s="31">
        <f>C12/2</f>
        <v>0</v>
      </c>
    </row>
    <row r="17" spans="2:5" ht="16.25" thickTop="1" thickBot="1" x14ac:dyDescent="0.9">
      <c r="B17" s="1" t="s">
        <v>419</v>
      </c>
      <c r="C17" s="31">
        <f>C12/2</f>
        <v>0</v>
      </c>
    </row>
    <row r="18" spans="2:5" ht="15.5" thickTop="1" x14ac:dyDescent="0.75">
      <c r="B18" s="1"/>
      <c r="C18" s="30"/>
    </row>
    <row r="19" spans="2:5" ht="15.5" thickBot="1" x14ac:dyDescent="0.9">
      <c r="B19" s="1" t="s">
        <v>409</v>
      </c>
      <c r="C19" s="31">
        <f>(C12/2)+(C14/2)</f>
        <v>0</v>
      </c>
      <c r="D19" t="s">
        <v>410</v>
      </c>
    </row>
    <row r="20" spans="2:5" ht="16.25" thickTop="1" thickBot="1" x14ac:dyDescent="0.9">
      <c r="B20" s="1" t="s">
        <v>411</v>
      </c>
      <c r="C20" s="31">
        <f>(C12/2)+(C14/2)</f>
        <v>0</v>
      </c>
      <c r="D20" t="s">
        <v>412</v>
      </c>
    </row>
    <row r="21" spans="2:5" ht="15.5" thickTop="1" x14ac:dyDescent="0.75"/>
    <row r="22" spans="2:5" ht="66" customHeight="1" x14ac:dyDescent="0.75">
      <c r="B22" s="156" t="s">
        <v>421</v>
      </c>
      <c r="C22" s="157"/>
      <c r="D22" s="157"/>
      <c r="E22" s="152"/>
    </row>
  </sheetData>
  <sheetProtection selectLockedCells="1"/>
  <mergeCells count="7">
    <mergeCell ref="B22:E22"/>
    <mergeCell ref="A1:D1"/>
    <mergeCell ref="C2:D2"/>
    <mergeCell ref="C3:D3"/>
    <mergeCell ref="C4:D4"/>
    <mergeCell ref="C5:D5"/>
    <mergeCell ref="C6:D6"/>
  </mergeCells>
  <pageMargins left="0.25" right="0.25" top="0.75" bottom="0.75" header="0.3" footer="0.3"/>
  <pageSetup orientation="landscape" r:id="rId1"/>
  <headerFooter>
    <oddFooter>&amp;LCurrent Date  &amp;D&amp;COffice of Public Instruction Transportation Budgeting Spreadsheet 
Version 8/25/2015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F29"/>
  <sheetViews>
    <sheetView workbookViewId="0">
      <selection activeCell="F13" sqref="F13"/>
    </sheetView>
  </sheetViews>
  <sheetFormatPr defaultRowHeight="14.75" x14ac:dyDescent="0.75"/>
  <cols>
    <col min="2" max="2" width="27.1328125" bestFit="1" customWidth="1"/>
    <col min="3" max="3" width="6" bestFit="1" customWidth="1"/>
  </cols>
  <sheetData>
    <row r="4" spans="2:6" ht="15.5" thickBot="1" x14ac:dyDescent="0.9">
      <c r="B4" s="107" t="s">
        <v>590</v>
      </c>
    </row>
    <row r="5" spans="2:6" x14ac:dyDescent="0.75">
      <c r="B5" s="3" t="s">
        <v>30</v>
      </c>
      <c r="C5" s="4" t="s">
        <v>31</v>
      </c>
      <c r="E5" s="53" t="s">
        <v>454</v>
      </c>
      <c r="F5" s="53"/>
    </row>
    <row r="6" spans="2:6" ht="15.5" thickBot="1" x14ac:dyDescent="0.9">
      <c r="B6" s="5" t="s">
        <v>594</v>
      </c>
      <c r="C6" s="6">
        <v>0.5</v>
      </c>
    </row>
    <row r="7" spans="2:6" x14ac:dyDescent="0.75">
      <c r="B7" s="5" t="s">
        <v>32</v>
      </c>
      <c r="C7" s="6">
        <v>0.95</v>
      </c>
      <c r="E7" s="92"/>
    </row>
    <row r="8" spans="2:6" x14ac:dyDescent="0.75">
      <c r="B8" s="5" t="s">
        <v>33</v>
      </c>
      <c r="C8" s="6">
        <v>1.1499999999999999</v>
      </c>
      <c r="E8" s="93" t="s">
        <v>448</v>
      </c>
    </row>
    <row r="9" spans="2:6" ht="15.5" thickBot="1" x14ac:dyDescent="0.9">
      <c r="B9" s="5" t="s">
        <v>34</v>
      </c>
      <c r="C9" s="6">
        <v>1.36</v>
      </c>
      <c r="E9" s="94" t="s">
        <v>455</v>
      </c>
    </row>
    <row r="10" spans="2:6" x14ac:dyDescent="0.75">
      <c r="B10" s="5" t="s">
        <v>35</v>
      </c>
      <c r="C10" s="6">
        <v>1.57</v>
      </c>
    </row>
    <row r="11" spans="2:6" x14ac:dyDescent="0.75">
      <c r="B11" s="5" t="s">
        <v>36</v>
      </c>
      <c r="C11" s="6">
        <v>1.8</v>
      </c>
    </row>
    <row r="12" spans="2:6" ht="15.5" thickBot="1" x14ac:dyDescent="0.9">
      <c r="B12" s="7" t="s">
        <v>37</v>
      </c>
      <c r="C12" s="8">
        <v>0.5</v>
      </c>
    </row>
    <row r="14" spans="2:6" ht="15.5" thickBot="1" x14ac:dyDescent="0.9">
      <c r="B14" s="107" t="s">
        <v>590</v>
      </c>
    </row>
    <row r="15" spans="2:6" ht="15.5" thickBot="1" x14ac:dyDescent="0.9">
      <c r="B15" s="9" t="s">
        <v>38</v>
      </c>
      <c r="C15" s="10">
        <v>10</v>
      </c>
    </row>
    <row r="17" spans="2:3" ht="15.5" thickBot="1" x14ac:dyDescent="0.9">
      <c r="B17" s="107" t="s">
        <v>591</v>
      </c>
    </row>
    <row r="18" spans="2:3" x14ac:dyDescent="0.75">
      <c r="B18" s="3" t="s">
        <v>39</v>
      </c>
      <c r="C18" s="4"/>
    </row>
    <row r="19" spans="2:3" x14ac:dyDescent="0.75">
      <c r="B19" s="5"/>
      <c r="C19" s="6"/>
    </row>
    <row r="20" spans="2:3" x14ac:dyDescent="0.75">
      <c r="B20" s="5" t="s">
        <v>40</v>
      </c>
      <c r="C20" s="6"/>
    </row>
    <row r="21" spans="2:3" x14ac:dyDescent="0.75">
      <c r="B21" s="5"/>
      <c r="C21" s="6"/>
    </row>
    <row r="22" spans="2:3" x14ac:dyDescent="0.75">
      <c r="B22" s="5" t="s">
        <v>41</v>
      </c>
      <c r="C22" s="6">
        <v>12.95</v>
      </c>
    </row>
    <row r="23" spans="2:3" x14ac:dyDescent="0.75">
      <c r="B23" s="5" t="s">
        <v>42</v>
      </c>
      <c r="C23" s="6">
        <v>8.4</v>
      </c>
    </row>
    <row r="24" spans="2:3" x14ac:dyDescent="0.75">
      <c r="B24" s="5"/>
      <c r="C24" s="6"/>
    </row>
    <row r="25" spans="2:3" x14ac:dyDescent="0.75">
      <c r="B25" s="5" t="s">
        <v>43</v>
      </c>
      <c r="C25" s="6">
        <v>0.35</v>
      </c>
    </row>
    <row r="26" spans="2:3" x14ac:dyDescent="0.75">
      <c r="B26" s="5" t="s">
        <v>43</v>
      </c>
      <c r="C26" s="6">
        <v>0.35</v>
      </c>
    </row>
    <row r="27" spans="2:3" x14ac:dyDescent="0.75">
      <c r="B27" s="5" t="s">
        <v>44</v>
      </c>
      <c r="C27" s="6">
        <v>1.5</v>
      </c>
    </row>
    <row r="28" spans="2:3" x14ac:dyDescent="0.75">
      <c r="B28" s="5"/>
      <c r="C28" s="6"/>
    </row>
    <row r="29" spans="2:3" ht="15.5" thickBot="1" x14ac:dyDescent="0.9">
      <c r="B29" s="7" t="s">
        <v>45</v>
      </c>
      <c r="C29" s="8">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4"/>
  <sheetViews>
    <sheetView workbookViewId="0"/>
  </sheetViews>
  <sheetFormatPr defaultRowHeight="14.75" x14ac:dyDescent="0.75"/>
  <cols>
    <col min="1" max="1" width="170.7265625" style="108" customWidth="1"/>
  </cols>
  <sheetData>
    <row r="1" spans="1:1" s="105" customFormat="1" ht="26" x14ac:dyDescent="1.2">
      <c r="A1" s="104" t="s">
        <v>593</v>
      </c>
    </row>
    <row r="3" spans="1:1" s="107" customFormat="1" ht="59" x14ac:dyDescent="0.75">
      <c r="A3" s="106" t="s">
        <v>586</v>
      </c>
    </row>
    <row r="4" spans="1:1" x14ac:dyDescent="0.75">
      <c r="A4" s="108" t="s">
        <v>494</v>
      </c>
    </row>
    <row r="5" spans="1:1" x14ac:dyDescent="0.75">
      <c r="A5" s="108" t="s">
        <v>495</v>
      </c>
    </row>
    <row r="6" spans="1:1" x14ac:dyDescent="0.75">
      <c r="A6" s="108" t="s">
        <v>496</v>
      </c>
    </row>
    <row r="7" spans="1:1" x14ac:dyDescent="0.75">
      <c r="A7" s="108" t="s">
        <v>497</v>
      </c>
    </row>
    <row r="8" spans="1:1" x14ac:dyDescent="0.75">
      <c r="A8" s="108" t="s">
        <v>498</v>
      </c>
    </row>
    <row r="9" spans="1:1" x14ac:dyDescent="0.75">
      <c r="A9" s="108" t="s">
        <v>499</v>
      </c>
    </row>
    <row r="10" spans="1:1" ht="29.5" x14ac:dyDescent="0.75">
      <c r="A10" s="108" t="s">
        <v>500</v>
      </c>
    </row>
    <row r="11" spans="1:1" ht="29.5" x14ac:dyDescent="0.75">
      <c r="A11" s="108" t="s">
        <v>501</v>
      </c>
    </row>
    <row r="12" spans="1:1" x14ac:dyDescent="0.75">
      <c r="A12" s="108" t="s">
        <v>502</v>
      </c>
    </row>
    <row r="13" spans="1:1" x14ac:dyDescent="0.75">
      <c r="A13" s="108" t="s">
        <v>503</v>
      </c>
    </row>
    <row r="14" spans="1:1" ht="29.5" x14ac:dyDescent="0.75">
      <c r="A14" s="108" t="s">
        <v>504</v>
      </c>
    </row>
    <row r="15" spans="1:1" ht="29.5" x14ac:dyDescent="0.75">
      <c r="A15" s="108" t="s">
        <v>505</v>
      </c>
    </row>
    <row r="16" spans="1:1" x14ac:dyDescent="0.75">
      <c r="A16" s="108" t="s">
        <v>506</v>
      </c>
    </row>
    <row r="17" spans="1:1" x14ac:dyDescent="0.75">
      <c r="A17" s="108" t="s">
        <v>507</v>
      </c>
    </row>
    <row r="18" spans="1:1" x14ac:dyDescent="0.75">
      <c r="A18" s="108" t="s">
        <v>508</v>
      </c>
    </row>
    <row r="19" spans="1:1" ht="29.5" x14ac:dyDescent="0.75">
      <c r="A19" s="108" t="s">
        <v>509</v>
      </c>
    </row>
    <row r="20" spans="1:1" x14ac:dyDescent="0.75">
      <c r="A20" s="108" t="s">
        <v>510</v>
      </c>
    </row>
    <row r="21" spans="1:1" x14ac:dyDescent="0.75">
      <c r="A21" s="108" t="s">
        <v>511</v>
      </c>
    </row>
    <row r="22" spans="1:1" x14ac:dyDescent="0.75">
      <c r="A22" s="108" t="s">
        <v>512</v>
      </c>
    </row>
    <row r="23" spans="1:1" ht="29.5" x14ac:dyDescent="0.75">
      <c r="A23" s="108" t="s">
        <v>513</v>
      </c>
    </row>
    <row r="24" spans="1:1" x14ac:dyDescent="0.75">
      <c r="A24" s="108" t="s">
        <v>514</v>
      </c>
    </row>
    <row r="26" spans="1:1" s="110" customFormat="1" ht="73.75" x14ac:dyDescent="0.75">
      <c r="A26" s="109" t="s">
        <v>515</v>
      </c>
    </row>
    <row r="28" spans="1:1" s="110" customFormat="1" ht="44.25" x14ac:dyDescent="0.75">
      <c r="A28" s="109" t="s">
        <v>516</v>
      </c>
    </row>
    <row r="29" spans="1:1" x14ac:dyDescent="0.75">
      <c r="A29" s="108" t="s">
        <v>517</v>
      </c>
    </row>
    <row r="30" spans="1:1" x14ac:dyDescent="0.75">
      <c r="A30" s="108" t="s">
        <v>518</v>
      </c>
    </row>
    <row r="31" spans="1:1" x14ac:dyDescent="0.75">
      <c r="A31" s="108" t="s">
        <v>519</v>
      </c>
    </row>
    <row r="32" spans="1:1" ht="44.25" x14ac:dyDescent="0.75">
      <c r="A32" s="108" t="s">
        <v>520</v>
      </c>
    </row>
    <row r="34" spans="1:1" s="110" customFormat="1" ht="29.5" x14ac:dyDescent="0.75">
      <c r="A34" s="109" t="s">
        <v>521</v>
      </c>
    </row>
    <row r="35" spans="1:1" s="110" customFormat="1" ht="44.25" x14ac:dyDescent="0.75">
      <c r="A35" s="111" t="s">
        <v>522</v>
      </c>
    </row>
    <row r="36" spans="1:1" ht="44.25" x14ac:dyDescent="0.75">
      <c r="A36" s="108" t="s">
        <v>523</v>
      </c>
    </row>
    <row r="37" spans="1:1" x14ac:dyDescent="0.75">
      <c r="A37" s="108" t="s">
        <v>524</v>
      </c>
    </row>
    <row r="38" spans="1:1" x14ac:dyDescent="0.75">
      <c r="A38" s="108" t="s">
        <v>525</v>
      </c>
    </row>
    <row r="39" spans="1:1" x14ac:dyDescent="0.75">
      <c r="A39" s="108" t="s">
        <v>526</v>
      </c>
    </row>
    <row r="40" spans="1:1" x14ac:dyDescent="0.75">
      <c r="A40" s="108" t="s">
        <v>527</v>
      </c>
    </row>
    <row r="41" spans="1:1" x14ac:dyDescent="0.75">
      <c r="A41" s="108" t="s">
        <v>528</v>
      </c>
    </row>
    <row r="42" spans="1:1" x14ac:dyDescent="0.75">
      <c r="A42" s="108" t="s">
        <v>529</v>
      </c>
    </row>
    <row r="43" spans="1:1" x14ac:dyDescent="0.75">
      <c r="A43" s="108" t="s">
        <v>530</v>
      </c>
    </row>
    <row r="44" spans="1:1" x14ac:dyDescent="0.75">
      <c r="A44" s="108" t="s">
        <v>531</v>
      </c>
    </row>
    <row r="46" spans="1:1" s="110" customFormat="1" ht="29.5" x14ac:dyDescent="0.75">
      <c r="A46" s="109" t="s">
        <v>532</v>
      </c>
    </row>
    <row r="47" spans="1:1" s="110" customFormat="1" x14ac:dyDescent="0.75">
      <c r="A47" s="111" t="s">
        <v>533</v>
      </c>
    </row>
    <row r="48" spans="1:1" x14ac:dyDescent="0.75">
      <c r="A48" s="108" t="s">
        <v>534</v>
      </c>
    </row>
    <row r="49" spans="1:1" ht="29.5" x14ac:dyDescent="0.75">
      <c r="A49" s="108" t="s">
        <v>535</v>
      </c>
    </row>
    <row r="50" spans="1:1" x14ac:dyDescent="0.75">
      <c r="A50" s="108" t="s">
        <v>536</v>
      </c>
    </row>
    <row r="51" spans="1:1" ht="29.5" x14ac:dyDescent="0.75">
      <c r="A51" s="108" t="s">
        <v>537</v>
      </c>
    </row>
    <row r="53" spans="1:1" s="110" customFormat="1" ht="73.75" x14ac:dyDescent="0.75">
      <c r="A53" s="109" t="s">
        <v>538</v>
      </c>
    </row>
    <row r="55" spans="1:1" s="110" customFormat="1" ht="44.25" x14ac:dyDescent="0.75">
      <c r="A55" s="109" t="s">
        <v>539</v>
      </c>
    </row>
    <row r="56" spans="1:1" s="110" customFormat="1" ht="103.25" x14ac:dyDescent="0.75">
      <c r="A56" s="111" t="s">
        <v>540</v>
      </c>
    </row>
    <row r="57" spans="1:1" x14ac:dyDescent="0.75">
      <c r="A57" s="108" t="s">
        <v>541</v>
      </c>
    </row>
    <row r="58" spans="1:1" x14ac:dyDescent="0.75">
      <c r="A58" s="108" t="s">
        <v>542</v>
      </c>
    </row>
    <row r="59" spans="1:1" x14ac:dyDescent="0.75">
      <c r="A59" s="108" t="s">
        <v>543</v>
      </c>
    </row>
    <row r="60" spans="1:1" x14ac:dyDescent="0.75">
      <c r="A60" s="108" t="s">
        <v>544</v>
      </c>
    </row>
    <row r="61" spans="1:1" x14ac:dyDescent="0.75">
      <c r="A61" s="108" t="s">
        <v>545</v>
      </c>
    </row>
    <row r="62" spans="1:1" x14ac:dyDescent="0.75">
      <c r="A62" s="108" t="s">
        <v>546</v>
      </c>
    </row>
    <row r="63" spans="1:1" x14ac:dyDescent="0.75">
      <c r="A63" s="108" t="s">
        <v>547</v>
      </c>
    </row>
    <row r="64" spans="1:1" ht="29.5" x14ac:dyDescent="0.75">
      <c r="A64" s="108" t="s">
        <v>548</v>
      </c>
    </row>
    <row r="65" spans="1:1" x14ac:dyDescent="0.75">
      <c r="A65" s="108" t="s">
        <v>549</v>
      </c>
    </row>
    <row r="67" spans="1:1" s="110" customFormat="1" ht="118" x14ac:dyDescent="0.75">
      <c r="A67" s="109" t="s">
        <v>550</v>
      </c>
    </row>
    <row r="68" spans="1:1" ht="44.25" x14ac:dyDescent="0.75">
      <c r="A68" s="108" t="s">
        <v>551</v>
      </c>
    </row>
    <row r="69" spans="1:1" ht="29.5" x14ac:dyDescent="0.75">
      <c r="A69" s="108" t="s">
        <v>552</v>
      </c>
    </row>
    <row r="70" spans="1:1" ht="29.5" x14ac:dyDescent="0.75">
      <c r="A70" s="108" t="s">
        <v>553</v>
      </c>
    </row>
    <row r="71" spans="1:1" ht="29.5" x14ac:dyDescent="0.75">
      <c r="A71" s="108" t="s">
        <v>554</v>
      </c>
    </row>
    <row r="72" spans="1:1" ht="29.5" x14ac:dyDescent="0.75">
      <c r="A72" s="108" t="s">
        <v>555</v>
      </c>
    </row>
    <row r="73" spans="1:1" x14ac:dyDescent="0.75">
      <c r="A73" s="108" t="s">
        <v>556</v>
      </c>
    </row>
    <row r="74" spans="1:1" ht="44.25" x14ac:dyDescent="0.75">
      <c r="A74" s="108" t="s">
        <v>557</v>
      </c>
    </row>
    <row r="75" spans="1:1" x14ac:dyDescent="0.75">
      <c r="A75" s="108" t="s">
        <v>558</v>
      </c>
    </row>
    <row r="76" spans="1:1" x14ac:dyDescent="0.75">
      <c r="A76" s="108" t="s">
        <v>559</v>
      </c>
    </row>
    <row r="77" spans="1:1" ht="88.5" x14ac:dyDescent="0.75">
      <c r="A77" s="108" t="s">
        <v>560</v>
      </c>
    </row>
    <row r="78" spans="1:1" ht="29.5" x14ac:dyDescent="0.75">
      <c r="A78" s="108" t="s">
        <v>561</v>
      </c>
    </row>
    <row r="79" spans="1:1" ht="44.25" x14ac:dyDescent="0.75">
      <c r="A79" s="108" t="s">
        <v>562</v>
      </c>
    </row>
    <row r="80" spans="1:1" ht="29.5" x14ac:dyDescent="0.75">
      <c r="A80" s="108" t="s">
        <v>563</v>
      </c>
    </row>
    <row r="82" spans="1:1" s="110" customFormat="1" ht="29.5" x14ac:dyDescent="0.75">
      <c r="A82" s="109" t="s">
        <v>564</v>
      </c>
    </row>
    <row r="83" spans="1:1" s="110" customFormat="1" ht="29.5" x14ac:dyDescent="0.75">
      <c r="A83" s="111" t="s">
        <v>565</v>
      </c>
    </row>
    <row r="84" spans="1:1" x14ac:dyDescent="0.75">
      <c r="A84" s="108" t="s">
        <v>566</v>
      </c>
    </row>
    <row r="85" spans="1:1" x14ac:dyDescent="0.75">
      <c r="A85" s="108" t="s">
        <v>567</v>
      </c>
    </row>
    <row r="86" spans="1:1" x14ac:dyDescent="0.75">
      <c r="A86" s="108" t="s">
        <v>568</v>
      </c>
    </row>
    <row r="87" spans="1:1" x14ac:dyDescent="0.75">
      <c r="A87" s="108" t="s">
        <v>569</v>
      </c>
    </row>
    <row r="88" spans="1:1" x14ac:dyDescent="0.75">
      <c r="A88" s="108" t="s">
        <v>570</v>
      </c>
    </row>
    <row r="89" spans="1:1" ht="29.5" x14ac:dyDescent="0.75">
      <c r="A89" s="108" t="s">
        <v>571</v>
      </c>
    </row>
    <row r="90" spans="1:1" x14ac:dyDescent="0.75">
      <c r="A90" s="108" t="s">
        <v>572</v>
      </c>
    </row>
    <row r="91" spans="1:1" x14ac:dyDescent="0.75">
      <c r="A91" s="108" t="s">
        <v>573</v>
      </c>
    </row>
    <row r="92" spans="1:1" ht="59" x14ac:dyDescent="0.75">
      <c r="A92" s="108" t="s">
        <v>574</v>
      </c>
    </row>
    <row r="93" spans="1:1" x14ac:dyDescent="0.75">
      <c r="A93" s="108" t="s">
        <v>575</v>
      </c>
    </row>
    <row r="94" spans="1:1" ht="59" x14ac:dyDescent="0.75">
      <c r="A94" s="108" t="s">
        <v>576</v>
      </c>
    </row>
    <row r="96" spans="1:1" s="110" customFormat="1" ht="29.5" x14ac:dyDescent="0.75">
      <c r="A96" s="109" t="s">
        <v>577</v>
      </c>
    </row>
    <row r="97" spans="1:1" s="110" customFormat="1" ht="73.75" x14ac:dyDescent="0.75">
      <c r="A97" s="111" t="s">
        <v>578</v>
      </c>
    </row>
    <row r="98" spans="1:1" ht="73.75" x14ac:dyDescent="0.75">
      <c r="A98" s="108" t="s">
        <v>579</v>
      </c>
    </row>
    <row r="99" spans="1:1" x14ac:dyDescent="0.75">
      <c r="A99" s="108" t="s">
        <v>580</v>
      </c>
    </row>
    <row r="100" spans="1:1" x14ac:dyDescent="0.75">
      <c r="A100" s="108" t="s">
        <v>581</v>
      </c>
    </row>
    <row r="101" spans="1:1" ht="29.5" x14ac:dyDescent="0.75">
      <c r="A101" s="108" t="s">
        <v>582</v>
      </c>
    </row>
    <row r="102" spans="1:1" ht="29.5" x14ac:dyDescent="0.75">
      <c r="A102" s="108" t="s">
        <v>583</v>
      </c>
    </row>
    <row r="103" spans="1:1" ht="29.5" x14ac:dyDescent="0.75">
      <c r="A103" s="108" t="s">
        <v>584</v>
      </c>
    </row>
    <row r="104" spans="1:1" ht="44.25" x14ac:dyDescent="0.75">
      <c r="A104" s="108" t="s">
        <v>585</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Bus Routes</vt:lpstr>
      <vt:lpstr>Individual Contracts</vt:lpstr>
      <vt:lpstr>On-Schedule</vt:lpstr>
      <vt:lpstr>PAR</vt:lpstr>
      <vt:lpstr>20-10 MCA</vt:lpstr>
      <vt:lpstr>'20-10 MCA'!Print_Area</vt:lpstr>
      <vt:lpstr>'Bus Routes'!Print_Area</vt:lpstr>
      <vt:lpstr>'Individual Contracts'!Print_Area</vt:lpstr>
      <vt:lpstr>'Bus Routes'!Print_Titles</vt:lpstr>
      <vt:lpstr>'Individual Contracts'!Print_Titles</vt:lpstr>
    </vt:vector>
  </TitlesOfParts>
  <Company>OPI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Paul</dc:creator>
  <cp:lastModifiedBy>Rosenthal, Donell</cp:lastModifiedBy>
  <cp:lastPrinted>2018-01-18T21:04:46Z</cp:lastPrinted>
  <dcterms:created xsi:type="dcterms:W3CDTF">2015-08-24T15:14:23Z</dcterms:created>
  <dcterms:modified xsi:type="dcterms:W3CDTF">2025-03-06T16:42:47Z</dcterms:modified>
</cp:coreProperties>
</file>